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-247\Documents\documentos\Meus documentos\COMPRAS\2023\Pregões\Edital nº 23_2023 - Coleta e Transporte de resíduos (Lixo)\"/>
    </mc:Choice>
  </mc:AlternateContent>
  <bookViews>
    <workbookView xWindow="0" yWindow="0" windowWidth="28800" windowHeight="12300" tabRatio="802" activeTab="4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</sheets>
  <definedNames>
    <definedName name="AbaDeprec">'5. Depreciação'!$A$1</definedName>
    <definedName name="AbaRemun">#REF!</definedName>
    <definedName name="_xlnm.Print_Area" localSheetId="0">'1. Coleta Domiciliar'!$A$1:$F$317</definedName>
    <definedName name="_xlnm.Print_Area" localSheetId="1">'2.Encargos Sociais'!$A$1:$C$36</definedName>
    <definedName name="_xlnm.Print_Titles" localSheetId="0">'1. Coleta Domiciliar'!$1:$4</definedName>
  </definedNames>
  <calcPr calcId="162913"/>
</workbook>
</file>

<file path=xl/calcChain.xml><?xml version="1.0" encoding="utf-8"?>
<calcChain xmlns="http://schemas.openxmlformats.org/spreadsheetml/2006/main">
  <c r="B315" i="2" l="1"/>
  <c r="D317" i="2"/>
  <c r="B235" i="2"/>
  <c r="B234" i="2" l="1"/>
  <c r="D233" i="2"/>
  <c r="D234" i="2" s="1"/>
  <c r="C233" i="2"/>
  <c r="C234" i="2" s="1"/>
  <c r="B233" i="2"/>
  <c r="E184" i="2"/>
  <c r="E206" i="2" s="1"/>
  <c r="C140" i="2"/>
  <c r="E286" i="2"/>
  <c r="C216" i="2" l="1"/>
  <c r="C239" i="2" l="1"/>
  <c r="C141" i="2"/>
  <c r="D55" i="2"/>
  <c r="D93" i="2"/>
  <c r="D98" i="2" s="1"/>
  <c r="E93" i="2"/>
  <c r="D96" i="2" s="1"/>
  <c r="E96" i="2" s="1"/>
  <c r="C97" i="2"/>
  <c r="C98" i="2" s="1"/>
  <c r="E104" i="2"/>
  <c r="E109" i="2"/>
  <c r="E110" i="2" s="1"/>
  <c r="E114" i="2"/>
  <c r="E119" i="2"/>
  <c r="E120" i="2" s="1"/>
  <c r="D99" i="2" l="1"/>
  <c r="E99" i="2" s="1"/>
  <c r="E98" i="2"/>
  <c r="D111" i="2"/>
  <c r="D121" i="2"/>
  <c r="D245" i="2"/>
  <c r="E100" i="2" l="1"/>
  <c r="D101" i="2" s="1"/>
  <c r="C135" i="2" l="1"/>
  <c r="C134" i="2"/>
  <c r="E222" i="2"/>
  <c r="E149" i="2" l="1"/>
  <c r="C245" i="2" l="1"/>
  <c r="E245" i="2" s="1"/>
  <c r="C247" i="2" l="1"/>
  <c r="C241" i="2"/>
  <c r="C254" i="2"/>
  <c r="C249" i="2"/>
  <c r="C243" i="2"/>
  <c r="A141" i="2"/>
  <c r="E294" i="2" l="1"/>
  <c r="D176" i="2" l="1"/>
  <c r="D177" i="2"/>
  <c r="E177" i="2" s="1"/>
  <c r="E159" i="2"/>
  <c r="A32" i="2" l="1"/>
  <c r="E295" i="2"/>
  <c r="E293" i="2"/>
  <c r="E296" i="2"/>
  <c r="E274" i="2"/>
  <c r="E273" i="2"/>
  <c r="E272" i="2"/>
  <c r="E271" i="2"/>
  <c r="E270" i="2"/>
  <c r="E230" i="2"/>
  <c r="D182" i="2"/>
  <c r="D180" i="2"/>
  <c r="D179" i="2"/>
  <c r="D178" i="2"/>
  <c r="A17" i="2"/>
  <c r="D83" i="2"/>
  <c r="A15" i="2"/>
  <c r="F296" i="2" l="1"/>
  <c r="E32" i="2" s="1"/>
  <c r="E141" i="2"/>
  <c r="D148" i="2"/>
  <c r="D275" i="2"/>
  <c r="E275" i="2" s="1"/>
  <c r="F276" i="2" s="1"/>
  <c r="E83" i="2"/>
  <c r="E42" i="2" l="1"/>
  <c r="A42" i="2"/>
  <c r="D56" i="2"/>
  <c r="E56" i="2" s="1"/>
  <c r="C68" i="2"/>
  <c r="D311" i="2" l="1"/>
  <c r="C260" i="2" l="1"/>
  <c r="C13" i="4" l="1"/>
  <c r="D241" i="2"/>
  <c r="E161" i="2"/>
  <c r="E62" i="2" l="1"/>
  <c r="A33" i="2" l="1"/>
  <c r="A31" i="2"/>
  <c r="A30" i="2"/>
  <c r="A22" i="2"/>
  <c r="A21" i="2"/>
  <c r="A11" i="2"/>
  <c r="C197" i="2" l="1"/>
  <c r="C202" i="2"/>
  <c r="E43" i="2" l="1"/>
  <c r="E41" i="2"/>
  <c r="E40" i="2"/>
  <c r="C183" i="2" l="1"/>
  <c r="C170" i="2"/>
  <c r="D249" i="2"/>
  <c r="D247" i="2"/>
  <c r="D243" i="2"/>
  <c r="E158" i="2" l="1"/>
  <c r="E160" i="2"/>
  <c r="E162" i="2"/>
  <c r="E163" i="2"/>
  <c r="E164" i="2"/>
  <c r="E165" i="2"/>
  <c r="E166" i="2"/>
  <c r="E167" i="2"/>
  <c r="E168" i="2"/>
  <c r="C262" i="2" l="1"/>
  <c r="A29" i="2"/>
  <c r="A28" i="2"/>
  <c r="A27" i="2"/>
  <c r="A26" i="2"/>
  <c r="A25" i="2"/>
  <c r="A24" i="2"/>
  <c r="A23" i="2"/>
  <c r="A20" i="2"/>
  <c r="A19" i="2"/>
  <c r="A18" i="2"/>
  <c r="A16" i="2"/>
  <c r="A14" i="2"/>
  <c r="A13" i="2"/>
  <c r="A12" i="2"/>
  <c r="C17" i="8"/>
  <c r="E171" i="2"/>
  <c r="E75" i="2"/>
  <c r="D210" i="2"/>
  <c r="C18" i="4"/>
  <c r="F11" i="4"/>
  <c r="E11" i="4"/>
  <c r="D11" i="4"/>
  <c r="C14" i="8"/>
  <c r="C34" i="5"/>
  <c r="C29" i="5"/>
  <c r="C28" i="8" s="1"/>
  <c r="C28" i="5"/>
  <c r="E79" i="2"/>
  <c r="E260" i="2"/>
  <c r="E241" i="2"/>
  <c r="D239" i="2"/>
  <c r="D250" i="2" s="1"/>
  <c r="E194" i="2"/>
  <c r="C212" i="2" s="1"/>
  <c r="D215" i="2"/>
  <c r="C203" i="2"/>
  <c r="C198" i="2"/>
  <c r="D66" i="2"/>
  <c r="D69" i="2" s="1"/>
  <c r="E69" i="2" s="1"/>
  <c r="C199" i="2"/>
  <c r="C215" i="2" s="1"/>
  <c r="A39" i="2"/>
  <c r="A40" i="2"/>
  <c r="A41" i="2"/>
  <c r="A43" i="2"/>
  <c r="E55" i="2"/>
  <c r="D57" i="2" s="1"/>
  <c r="C70" i="2"/>
  <c r="A140" i="2"/>
  <c r="A147" i="2" s="1"/>
  <c r="E169" i="2"/>
  <c r="E176" i="2"/>
  <c r="E178" i="2"/>
  <c r="E179" i="2"/>
  <c r="E180" i="2"/>
  <c r="E181" i="2"/>
  <c r="E182" i="2"/>
  <c r="E258" i="2"/>
  <c r="E228" i="2"/>
  <c r="E227" i="2"/>
  <c r="D82" i="2" l="1"/>
  <c r="E82" i="2" s="1"/>
  <c r="E84" i="2" s="1"/>
  <c r="D135" i="2" s="1"/>
  <c r="E135" i="2" s="1"/>
  <c r="C303" i="2"/>
  <c r="D197" i="2"/>
  <c r="E197" i="2" s="1"/>
  <c r="C213" i="2" s="1"/>
  <c r="D214" i="2" s="1"/>
  <c r="C27" i="8"/>
  <c r="G28" i="5"/>
  <c r="C39" i="5"/>
  <c r="E37" i="5"/>
  <c r="D37" i="5" s="1"/>
  <c r="D38" i="5" s="1"/>
  <c r="C38" i="5" s="1"/>
  <c r="C24" i="8" s="1"/>
  <c r="C32" i="8" s="1"/>
  <c r="E247" i="2"/>
  <c r="D68" i="2"/>
  <c r="E68" i="2" s="1"/>
  <c r="E249" i="2"/>
  <c r="F278" i="2"/>
  <c r="E239" i="2"/>
  <c r="E66" i="2"/>
  <c r="E199" i="2"/>
  <c r="C217" i="2" s="1"/>
  <c r="D170" i="2"/>
  <c r="E140" i="2"/>
  <c r="C147" i="2"/>
  <c r="E147" i="2" s="1"/>
  <c r="E215" i="2"/>
  <c r="E148" i="2"/>
  <c r="E57" i="2"/>
  <c r="E58" i="2" s="1"/>
  <c r="D134" i="2" s="1"/>
  <c r="E243" i="2"/>
  <c r="E254" i="2"/>
  <c r="F255" i="2" s="1"/>
  <c r="E28" i="2" s="1"/>
  <c r="E210" i="2"/>
  <c r="D261" i="2"/>
  <c r="E261" i="2" s="1"/>
  <c r="D262" i="2" s="1"/>
  <c r="E262" i="2" s="1"/>
  <c r="F263" i="2" s="1"/>
  <c r="E29" i="2" s="1"/>
  <c r="D183" i="2"/>
  <c r="F251" i="2" l="1"/>
  <c r="E31" i="2"/>
  <c r="E134" i="2"/>
  <c r="F136" i="2" s="1"/>
  <c r="E30" i="2"/>
  <c r="D70" i="2"/>
  <c r="E70" i="2" s="1"/>
  <c r="E71" i="2" s="1"/>
  <c r="D59" i="2"/>
  <c r="D198" i="2"/>
  <c r="E198" i="2" s="1"/>
  <c r="C26" i="8"/>
  <c r="C25" i="8"/>
  <c r="K35" i="5"/>
  <c r="K36" i="5" s="1"/>
  <c r="K37" i="5" s="1"/>
  <c r="K38" i="5" s="1"/>
  <c r="K39" i="5" s="1"/>
  <c r="K40" i="5" s="1"/>
  <c r="K41" i="5" s="1"/>
  <c r="C16" i="8"/>
  <c r="C22" i="8" s="1"/>
  <c r="C31" i="8" s="1"/>
  <c r="C33" i="8" s="1"/>
  <c r="F37" i="5"/>
  <c r="G37" i="5" s="1"/>
  <c r="C37" i="5"/>
  <c r="F142" i="2"/>
  <c r="E19" i="2" s="1"/>
  <c r="F149" i="2"/>
  <c r="E183" i="2"/>
  <c r="F184" i="2" s="1"/>
  <c r="E170" i="2"/>
  <c r="F171" i="2" s="1"/>
  <c r="D202" i="2"/>
  <c r="E202" i="2" s="1"/>
  <c r="D203" i="2" s="1"/>
  <c r="E203" i="2" s="1"/>
  <c r="D85" i="2"/>
  <c r="E27" i="2" l="1"/>
  <c r="E18" i="2"/>
  <c r="E20" i="2"/>
  <c r="E214" i="2"/>
  <c r="D226" i="2"/>
  <c r="E226" i="2" s="1"/>
  <c r="D229" i="2" s="1"/>
  <c r="E229" i="2" s="1"/>
  <c r="F230" i="2" s="1"/>
  <c r="E26" i="2" s="1"/>
  <c r="C29" i="8"/>
  <c r="C34" i="8" s="1"/>
  <c r="G38" i="5"/>
  <c r="G32" i="5"/>
  <c r="E204" i="2"/>
  <c r="D205" i="2" s="1"/>
  <c r="E205" i="2" s="1"/>
  <c r="F206" i="2" s="1"/>
  <c r="C218" i="2"/>
  <c r="F186" i="2"/>
  <c r="E21" i="2" s="1"/>
  <c r="C111" i="2" l="1"/>
  <c r="E111" i="2" s="1"/>
  <c r="E112" i="2" s="1"/>
  <c r="D113" i="2" s="1"/>
  <c r="E113" i="2" s="1"/>
  <c r="F114" i="2" s="1"/>
  <c r="C101" i="2"/>
  <c r="E101" i="2" s="1"/>
  <c r="E102" i="2" s="1"/>
  <c r="D103" i="2" s="1"/>
  <c r="E103" i="2" s="1"/>
  <c r="F104" i="2" s="1"/>
  <c r="C121" i="2"/>
  <c r="E121" i="2" s="1"/>
  <c r="E122" i="2" s="1"/>
  <c r="D123" i="2" s="1"/>
  <c r="E123" i="2" s="1"/>
  <c r="F124" i="2" s="1"/>
  <c r="E17" i="2" s="1"/>
  <c r="E15" i="2"/>
  <c r="E24" i="2"/>
  <c r="D219" i="2"/>
  <c r="E219" i="2" s="1"/>
  <c r="E220" i="2" s="1"/>
  <c r="D221" i="2" s="1"/>
  <c r="E221" i="2" s="1"/>
  <c r="F222" i="2" s="1"/>
  <c r="E25" i="2" s="1"/>
  <c r="C85" i="2"/>
  <c r="C59" i="2"/>
  <c r="C72" i="2"/>
  <c r="D72" i="2"/>
  <c r="F265" i="2" l="1"/>
  <c r="F298" i="2" s="1"/>
  <c r="E23" i="2"/>
  <c r="E59" i="2"/>
  <c r="E60" i="2" s="1"/>
  <c r="D61" i="2" s="1"/>
  <c r="E61" i="2" s="1"/>
  <c r="E72" i="2"/>
  <c r="E73" i="2" s="1"/>
  <c r="D74" i="2" s="1"/>
  <c r="E74" i="2" s="1"/>
  <c r="F75" i="2" s="1"/>
  <c r="E13" i="2" s="1"/>
  <c r="E85" i="2"/>
  <c r="E86" i="2" s="1"/>
  <c r="D87" i="2" s="1"/>
  <c r="E87" i="2" s="1"/>
  <c r="E22" i="2" l="1"/>
  <c r="F62" i="2"/>
  <c r="F88" i="2"/>
  <c r="E14" i="2" s="1"/>
  <c r="E16" i="2"/>
  <c r="E12" i="2" l="1"/>
  <c r="F151" i="2"/>
  <c r="E11" i="2" s="1"/>
  <c r="D303" i="2" l="1"/>
  <c r="E303" i="2" s="1"/>
  <c r="F304" i="2" s="1"/>
  <c r="F306" i="2" s="1"/>
  <c r="F309" i="2" s="1"/>
  <c r="C316" i="2" s="1"/>
  <c r="C315" i="2" s="1"/>
  <c r="E33" i="2" l="1"/>
  <c r="E34" i="2" s="1"/>
  <c r="F32" i="2" l="1"/>
  <c r="F27" i="2"/>
  <c r="F24" i="2"/>
  <c r="F18" i="2"/>
  <c r="F19" i="2"/>
  <c r="F313" i="2"/>
  <c r="F14" i="2"/>
  <c r="F29" i="2"/>
  <c r="F33" i="2"/>
  <c r="F16" i="2"/>
  <c r="F30" i="2"/>
  <c r="F26" i="2"/>
  <c r="F25" i="2"/>
  <c r="F23" i="2"/>
  <c r="F28" i="2"/>
  <c r="F22" i="2"/>
  <c r="F20" i="2"/>
  <c r="F12" i="2"/>
  <c r="F21" i="2"/>
  <c r="F13" i="2"/>
  <c r="F31" i="2"/>
  <c r="F15" i="2"/>
  <c r="F11" i="2"/>
  <c r="F17" i="2"/>
  <c r="F34" i="2" l="1"/>
</calcChain>
</file>

<file path=xl/comments1.xml><?xml version="1.0" encoding="utf-8"?>
<comments xmlns="http://schemas.openxmlformats.org/spreadsheetml/2006/main">
  <authors>
    <author>Clauber Bridi</author>
  </authors>
  <commentList>
    <comment ref="D194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244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4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</commentList>
</comments>
</file>

<file path=xl/sharedStrings.xml><?xml version="1.0" encoding="utf-8"?>
<sst xmlns="http://schemas.openxmlformats.org/spreadsheetml/2006/main" count="578" uniqueCount="305">
  <si>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</si>
  <si>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</si>
  <si>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</si>
  <si>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</si>
  <si>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</si>
  <si>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</si>
  <si>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</si>
  <si>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</si>
  <si>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</si>
  <si>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</si>
  <si>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</si>
  <si>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</si>
  <si>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</si>
  <si>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</si>
  <si>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</si>
  <si>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</si>
  <si>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</si>
  <si>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</si>
  <si>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</si>
  <si>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</si>
  <si>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</si>
  <si>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</si>
  <si>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</si>
  <si>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</si>
  <si>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</si>
  <si>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</si>
  <si>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</si>
  <si>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</si>
  <si>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</si>
  <si>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</si>
  <si>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</si>
  <si>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</si>
  <si>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</si>
  <si>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</si>
  <si>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</si>
  <si>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</si>
  <si>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</si>
  <si>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</si>
  <si>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</si>
  <si>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</si>
  <si>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</si>
  <si>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</si>
  <si>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</si>
  <si>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</si>
  <si>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</si>
  <si>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</si>
  <si>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</si>
  <si>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</si>
  <si>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</si>
  <si>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</si>
  <si>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</si>
  <si>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</si>
  <si>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</si>
  <si>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</si>
  <si>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</si>
  <si>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</si>
  <si>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</si>
  <si>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</si>
  <si>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</si>
  <si>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</si>
  <si>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</si>
  <si>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</si>
  <si>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</si>
  <si>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</si>
  <si>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</si>
  <si>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</si>
  <si>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</si>
  <si>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</si>
  <si>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</si>
  <si>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</si>
  <si>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</si>
  <si>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</si>
  <si>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</si>
  <si>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</si>
  <si>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</si>
  <si>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</si>
  <si>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</si>
  <si>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</si>
  <si>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</si>
  <si>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</si>
  <si>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</si>
  <si>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</si>
  <si>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</si>
  <si>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</si>
  <si>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</si>
  <si>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</si>
  <si>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</si>
  <si>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</si>
  <si>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</si>
  <si>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</si>
  <si>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</si>
  <si>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</si>
  <si>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1.1. Coletor Turno Dia</t>
  </si>
  <si>
    <t>1.3. Motorista Turno do Dia</t>
  </si>
  <si>
    <t>hora contabilizada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</si>
  <si>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</si>
  <si>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</si>
  <si>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</si>
  <si>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</si>
  <si>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</si>
  <si>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</si>
  <si>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</si>
  <si>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</si>
  <si>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Custo do chassis</t>
  </si>
  <si>
    <t>Custo do compactador</t>
  </si>
  <si>
    <t>3.1.2. Remuneração do Capital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</si>
  <si>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</si>
  <si>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</si>
  <si>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</si>
  <si>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</si>
  <si>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</si>
  <si>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</si>
  <si>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</si>
  <si>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</si>
  <si>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</si>
  <si>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</si>
  <si>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</si>
  <si>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</si>
  <si>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</si>
  <si>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</si>
  <si>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</si>
  <si>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</si>
  <si>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</si>
  <si>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</si>
  <si>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</si>
  <si>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</si>
  <si>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</si>
  <si>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</si>
  <si>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</si>
  <si>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</si>
  <si>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</si>
  <si>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</si>
  <si>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</si>
  <si>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</si>
  <si>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</si>
  <si>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</si>
  <si>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</si>
  <si>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</si>
  <si>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</si>
  <si>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</si>
  <si>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</si>
  <si>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</si>
  <si>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</si>
  <si>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</si>
  <si>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</si>
  <si>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</si>
  <si>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</si>
  <si>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</si>
  <si>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</si>
  <si>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</si>
  <si>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</si>
  <si>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</si>
  <si>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</si>
  <si>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</si>
  <si>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</si>
  <si>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</si>
  <si>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</si>
  <si>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</si>
  <si>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</si>
  <si>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</si>
  <si>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</si>
  <si>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</si>
  <si>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</si>
  <si>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</si>
  <si>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</si>
  <si>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</si>
  <si>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</si>
  <si>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</si>
  <si>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</si>
  <si>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</si>
  <si>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</si>
  <si>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</si>
  <si>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</si>
  <si>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</si>
  <si>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</si>
  <si>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</si>
  <si>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</si>
  <si>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</si>
  <si>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</si>
  <si>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</si>
  <si>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</si>
  <si>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</si>
  <si>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</si>
  <si>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</si>
  <si>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</si>
  <si>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</si>
  <si>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</si>
  <si>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</si>
  <si>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</si>
  <si>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</si>
  <si>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</si>
  <si>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</si>
  <si>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</si>
  <si>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</si>
  <si>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</si>
  <si>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</si>
  <si>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</si>
  <si>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</si>
  <si>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</si>
  <si>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3. As células azuis deverão ter seus valores preenchidos em outra planilha do arquivo.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</si>
  <si>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</si>
  <si>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</si>
  <si>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</si>
  <si>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</si>
  <si>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</si>
  <si>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</si>
  <si>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</si>
  <si>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</si>
  <si>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</si>
  <si>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</si>
  <si>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</si>
  <si>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</si>
  <si>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</si>
  <si>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</si>
  <si>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Piso da categoria (1)</t>
  </si>
  <si>
    <t>Salário mínimo nacional (2)</t>
  </si>
  <si>
    <t>C2</t>
  </si>
  <si>
    <t>B3</t>
  </si>
  <si>
    <t xml:space="preserve">Quantidade média de resíduos coletados por mês: 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</si>
  <si>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</si>
  <si>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</si>
  <si>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</si>
  <si>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</si>
  <si>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</si>
  <si>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</si>
  <si>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</si>
  <si>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1. Esta planilha é somente um modelo-base. Qualquer custo previsto no edital e não contemplado nesta planilha deverá ser devidamente incluído</t>
  </si>
  <si>
    <t>5. Depreciação Referencial TCE/RS (%)</t>
  </si>
  <si>
    <t>Custo unitário</t>
  </si>
  <si>
    <t>Custo de óleo do motor /1.000 km rodados</t>
  </si>
  <si>
    <t>Custo de óleo da transmissão /1.000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</si>
  <si>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</si>
  <si>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</si>
  <si>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</si>
  <si>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</si>
  <si>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</si>
  <si>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</si>
  <si>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</si>
  <si>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</si>
  <si>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</si>
  <si>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</si>
  <si>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</si>
  <si>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</si>
  <si>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</si>
  <si>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</si>
  <si>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</si>
  <si>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</si>
  <si>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</si>
  <si>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</si>
  <si>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Estoque recuperado início do Período 01-09-2016</t>
  </si>
  <si>
    <t>Estoque recuperado final do Período 31-08-2017</t>
  </si>
  <si>
    <t>Variação Emprego Absoluta de 01-09-2016 a 31-08-2017</t>
  </si>
  <si>
    <t>i</t>
  </si>
  <si>
    <t>Depreciação Média</t>
  </si>
  <si>
    <t xml:space="preserve">Bermudas </t>
  </si>
  <si>
    <t>Tributos - PIS/COFINS</t>
  </si>
  <si>
    <t>Total por Encarregado</t>
  </si>
  <si>
    <t xml:space="preserve">hrs </t>
  </si>
  <si>
    <t>Horas extras mensal feriados (100% sobre valor hora)</t>
  </si>
  <si>
    <t>Custo do jogo de pneus 275/22,5 R80</t>
  </si>
  <si>
    <t>Custo jg. compl. + 2 recap./ km rodado</t>
  </si>
  <si>
    <t>Botina de segurança</t>
  </si>
  <si>
    <t xml:space="preserve">Botina de segurança </t>
  </si>
  <si>
    <t>1.4. Motorista Turno da Noite</t>
  </si>
  <si>
    <t>1.5. Supervisor Administrativo (Encarregado)</t>
  </si>
  <si>
    <t>Obs: Salário do motorista conforme Convenção Coletiva (Sinecarga 2018/2019)</t>
  </si>
  <si>
    <t>Obs: Salário R$1.676,60 - Considerado a inflação IPCA dos últimos 12 meses 3,89% = (R$1.741,82)</t>
  </si>
  <si>
    <t xml:space="preserve">Obs: salário base conforme pesquisa de mercado na região </t>
  </si>
  <si>
    <t xml:space="preserve">1.6. Técnico Segurança do Trabalho </t>
  </si>
  <si>
    <t xml:space="preserve">Obs: salário base conforme convenção coletiva. </t>
  </si>
  <si>
    <t>1.7. Vale Transporte</t>
  </si>
  <si>
    <t>Motorista Auxílio Alimentação</t>
  </si>
  <si>
    <t xml:space="preserve">Obs: sobre o valor unitário do vale transporte já foi descontado 6% do salário bruto.  </t>
  </si>
  <si>
    <t>1.8. Auxílio Refeição</t>
  </si>
  <si>
    <t>1.9. Auxílio Alimentação (mensal)</t>
  </si>
  <si>
    <t>Custo de arla/5% do consumo de Óleo Diesel</t>
  </si>
  <si>
    <t>Custo mensal com arla</t>
  </si>
  <si>
    <t>Durabilidade/M</t>
  </si>
  <si>
    <t xml:space="preserve">6. Administração Local/Veículo de Apoio </t>
  </si>
  <si>
    <t xml:space="preserve">Veículo de apoio </t>
  </si>
  <si>
    <t xml:space="preserve">Um. </t>
  </si>
  <si>
    <t xml:space="preserve">1. Coleta de Resíduos Orgânicos </t>
  </si>
  <si>
    <t>Aluguel espaço físico para garagem/oficina/vestiários</t>
  </si>
  <si>
    <t>Custo com água, energia elétrica, telefonia, internet</t>
  </si>
  <si>
    <t xml:space="preserve">Obs: considerado 30 horas de trabalho mês. </t>
  </si>
  <si>
    <t xml:space="preserve">5. Destino do lixo no aterro </t>
  </si>
  <si>
    <t>Destino do lixo no aterro</t>
  </si>
  <si>
    <t>Ton</t>
  </si>
  <si>
    <t>Custo Mensal com Destino Final do Lixo (R$/mês)</t>
  </si>
  <si>
    <t xml:space="preserve">Custo de óleo diesel / km rodado Coleta </t>
  </si>
  <si>
    <t>Obs: Cada Empresa deve cotar seus encargos cfe legislação pertinente</t>
  </si>
  <si>
    <t>Obs: Cada Empresa deve cotar seus tributos cfe legislação pertinente</t>
  </si>
  <si>
    <t>Custo de óleo hidráulico / 1.000 km</t>
  </si>
  <si>
    <t>Custo mensal com óleo hidráulico</t>
  </si>
  <si>
    <t>MUNICIPIO DE AJURICABA</t>
  </si>
  <si>
    <t>Obs: Salário do motorista conforme Convenção Coletiva (Sinecarga 2022/2023)</t>
  </si>
  <si>
    <r>
      <t xml:space="preserve">Total </t>
    </r>
    <r>
      <rPr>
        <b/>
        <u/>
        <sz val="9"/>
        <color rgb="FFFF0000"/>
        <rFont val="Arial"/>
        <family val="2"/>
      </rPr>
      <t>(R$)</t>
    </r>
  </si>
  <si>
    <t>Salário mínimo nacional</t>
  </si>
  <si>
    <t xml:space="preserve">3.1. Veículo Coletor </t>
  </si>
  <si>
    <t>5. Benefícios e Despesas Indiretas - BDI</t>
  </si>
  <si>
    <t>a cada 15 dias</t>
  </si>
  <si>
    <t>3 x sem</t>
  </si>
  <si>
    <t>2 x sem.</t>
  </si>
  <si>
    <t>Transporte</t>
  </si>
  <si>
    <t>Coleta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</si>
</sst>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&quot;R$ &quot;#,##0.00_);\(&quot;R$ &quot;#,##0.00\)"/>
    <numFmt numFmtId="166" formatCode="_(* #,##0.00_);_(* \(#,##0.00\);_(* &quot;-&quot;??_);_(@_)"/>
    <numFmt numFmtId="167" formatCode="_(* #,##0_);_(* \(#,##0\);_(* &quot;-&quot;??_);_(@_)"/>
    <numFmt numFmtId="168" formatCode="_(* #,##0.000_);_(* \(#,##0.000\);_(* &quot;-&quot;??_);_(@_)"/>
    <numFmt numFmtId="169" formatCode="&quot;R$ &quot;#,##0.00"/>
    <numFmt numFmtId="170" formatCode="0.0000"/>
    <numFmt numFmtId="171" formatCode="0.0"/>
    <numFmt numFmtId="172" formatCode="_-* #,##0.0_-;\-* #,##0.0_-;_-* &quot;-&quot;??_-;_-@_-"/>
    <numFmt numFmtId="173" formatCode="_(* #,##0.0000_);_(* \(#,##0.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72" fontId="30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1">
    <xf numFmtId="0" fontId="0" fillId="0" borderId="0" xfId="0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6" fontId="0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6" fontId="14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6" fontId="14" fillId="0" borderId="2" xfId="3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6" fontId="14" fillId="0" borderId="1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4" fillId="0" borderId="0" xfId="3" applyFont="1" applyAlignment="1">
      <alignment horizontal="center" vertical="center"/>
    </xf>
    <xf numFmtId="166" fontId="11" fillId="2" borderId="4" xfId="3" applyFont="1" applyFill="1" applyBorder="1" applyAlignment="1">
      <alignment horizontal="center" vertical="center"/>
    </xf>
    <xf numFmtId="166" fontId="11" fillId="2" borderId="4" xfId="3" applyFont="1" applyFill="1" applyBorder="1" applyAlignment="1">
      <alignment vertical="center"/>
    </xf>
    <xf numFmtId="166" fontId="11" fillId="0" borderId="0" xfId="3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11" fillId="0" borderId="6" xfId="3" applyFont="1" applyBorder="1" applyAlignment="1">
      <alignment vertical="center"/>
    </xf>
    <xf numFmtId="166" fontId="11" fillId="0" borderId="7" xfId="3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6" fontId="14" fillId="0" borderId="6" xfId="3" applyFont="1" applyBorder="1" applyAlignment="1">
      <alignment vertical="center"/>
    </xf>
    <xf numFmtId="166" fontId="14" fillId="0" borderId="7" xfId="3" applyFont="1" applyBorder="1" applyAlignment="1">
      <alignment vertical="center"/>
    </xf>
    <xf numFmtId="166" fontId="11" fillId="0" borderId="0" xfId="3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166" fontId="11" fillId="0" borderId="0" xfId="3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6" fontId="11" fillId="0" borderId="0" xfId="3" applyFont="1" applyBorder="1" applyAlignment="1">
      <alignment vertical="center"/>
    </xf>
    <xf numFmtId="166" fontId="13" fillId="0" borderId="0" xfId="3" applyFont="1" applyAlignment="1">
      <alignment vertical="center"/>
    </xf>
    <xf numFmtId="167" fontId="14" fillId="0" borderId="1" xfId="3" applyNumberFormat="1" applyFont="1" applyBorder="1" applyAlignment="1">
      <alignment vertical="center"/>
    </xf>
    <xf numFmtId="166" fontId="14" fillId="0" borderId="0" xfId="3" applyFont="1"/>
    <xf numFmtId="166" fontId="12" fillId="0" borderId="0" xfId="3" applyFont="1" applyAlignment="1">
      <alignment vertical="center"/>
    </xf>
    <xf numFmtId="166" fontId="0" fillId="0" borderId="9" xfId="3" applyFont="1" applyBorder="1" applyAlignment="1">
      <alignment vertical="center"/>
    </xf>
    <xf numFmtId="166" fontId="11" fillId="0" borderId="10" xfId="3" applyFont="1" applyBorder="1" applyAlignment="1">
      <alignment horizontal="center" vertical="center"/>
    </xf>
    <xf numFmtId="166" fontId="11" fillId="0" borderId="5" xfId="3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centerContinuous" vertical="center"/>
    </xf>
    <xf numFmtId="166" fontId="11" fillId="0" borderId="0" xfId="3" applyFont="1" applyAlignment="1">
      <alignment vertical="center"/>
    </xf>
    <xf numFmtId="166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Continuous" vertical="center"/>
    </xf>
    <xf numFmtId="166" fontId="0" fillId="0" borderId="8" xfId="3" applyFont="1" applyBorder="1" applyAlignment="1">
      <alignment vertical="center"/>
    </xf>
    <xf numFmtId="166" fontId="11" fillId="0" borderId="11" xfId="3" applyFont="1" applyBorder="1" applyAlignment="1">
      <alignment horizontal="right" vertical="center"/>
    </xf>
    <xf numFmtId="166" fontId="0" fillId="0" borderId="12" xfId="3" applyFont="1" applyBorder="1" applyAlignment="1">
      <alignment vertical="center"/>
    </xf>
    <xf numFmtId="166" fontId="14" fillId="0" borderId="1" xfId="3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6" fontId="14" fillId="0" borderId="0" xfId="3" applyFont="1" applyFill="1" applyBorder="1" applyAlignment="1">
      <alignment horizontal="center" vertical="center"/>
    </xf>
    <xf numFmtId="10" fontId="0" fillId="0" borderId="13" xfId="2" applyNumberFormat="1" applyFont="1" applyBorder="1" applyAlignment="1">
      <alignment vertical="center"/>
    </xf>
    <xf numFmtId="166" fontId="14" fillId="0" borderId="0" xfId="3" applyFont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66" fontId="20" fillId="2" borderId="15" xfId="3" applyFont="1" applyFill="1" applyBorder="1" applyAlignment="1">
      <alignment horizontal="center" vertical="center"/>
    </xf>
    <xf numFmtId="166" fontId="20" fillId="2" borderId="16" xfId="3" applyFont="1" applyFill="1" applyBorder="1" applyAlignment="1">
      <alignment horizontal="center" vertical="center"/>
    </xf>
    <xf numFmtId="166" fontId="11" fillId="0" borderId="17" xfId="3" applyFont="1" applyBorder="1" applyAlignment="1">
      <alignment horizontal="center" vertical="center"/>
    </xf>
    <xf numFmtId="166" fontId="9" fillId="0" borderId="12" xfId="3" applyFont="1" applyBorder="1" applyAlignment="1">
      <alignment horizontal="left" vertical="center"/>
    </xf>
    <xf numFmtId="166" fontId="14" fillId="0" borderId="8" xfId="3" applyFont="1" applyBorder="1" applyAlignment="1">
      <alignment vertical="center"/>
    </xf>
    <xf numFmtId="166" fontId="14" fillId="0" borderId="12" xfId="3" applyFont="1" applyBorder="1" applyAlignment="1">
      <alignment vertical="center"/>
    </xf>
    <xf numFmtId="167" fontId="14" fillId="0" borderId="0" xfId="3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18" xfId="3" applyNumberFormat="1" applyFont="1" applyBorder="1" applyAlignment="1">
      <alignment horizontal="center" vertical="center"/>
    </xf>
    <xf numFmtId="166" fontId="11" fillId="0" borderId="26" xfId="3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166" fontId="14" fillId="0" borderId="17" xfId="3" applyFont="1" applyBorder="1" applyAlignment="1">
      <alignment vertical="center"/>
    </xf>
    <xf numFmtId="166" fontId="14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1" fontId="14" fillId="0" borderId="10" xfId="3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11" fillId="0" borderId="29" xfId="3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6" fontId="11" fillId="2" borderId="4" xfId="3" applyNumberFormat="1" applyFont="1" applyFill="1" applyBorder="1" applyAlignment="1">
      <alignment horizontal="center" vertical="center"/>
    </xf>
    <xf numFmtId="166" fontId="14" fillId="0" borderId="1" xfId="3" applyFont="1" applyFill="1" applyBorder="1" applyAlignment="1">
      <alignment horizontal="center" vertical="center"/>
    </xf>
    <xf numFmtId="43" fontId="14" fillId="0" borderId="0" xfId="0" applyNumberFormat="1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166" fontId="14" fillId="3" borderId="2" xfId="3" applyFont="1" applyFill="1" applyBorder="1" applyAlignment="1">
      <alignment horizontal="center" vertical="center"/>
    </xf>
    <xf numFmtId="166" fontId="14" fillId="3" borderId="1" xfId="3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66" fontId="14" fillId="3" borderId="0" xfId="3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167" fontId="14" fillId="0" borderId="1" xfId="3" applyNumberFormat="1" applyFont="1" applyBorder="1" applyAlignment="1">
      <alignment horizontal="center" vertical="center"/>
    </xf>
    <xf numFmtId="166" fontId="14" fillId="3" borderId="1" xfId="3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168" fontId="14" fillId="3" borderId="2" xfId="3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167" fontId="14" fillId="0" borderId="1" xfId="3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6" fontId="11" fillId="0" borderId="1" xfId="3" applyFont="1" applyBorder="1" applyAlignment="1">
      <alignment horizontal="center" vertical="center"/>
    </xf>
    <xf numFmtId="166" fontId="14" fillId="0" borderId="2" xfId="3" applyFont="1" applyFill="1" applyBorder="1" applyAlignment="1">
      <alignment horizontal="center" vertical="center"/>
    </xf>
    <xf numFmtId="0" fontId="16" fillId="0" borderId="0" xfId="1" applyAlignment="1" applyProtection="1">
      <alignment vertical="center"/>
    </xf>
    <xf numFmtId="0" fontId="11" fillId="0" borderId="0" xfId="0" applyFont="1"/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166" fontId="20" fillId="2" borderId="31" xfId="3" applyFont="1" applyFill="1" applyBorder="1" applyAlignment="1">
      <alignment horizontal="center" vertical="center"/>
    </xf>
    <xf numFmtId="166" fontId="11" fillId="0" borderId="1" xfId="3" applyFont="1" applyFill="1" applyBorder="1" applyAlignment="1">
      <alignment horizontal="center" vertical="center"/>
    </xf>
    <xf numFmtId="165" fontId="11" fillId="0" borderId="32" xfId="0" applyNumberFormat="1" applyFont="1" applyBorder="1" applyAlignment="1">
      <alignment vertical="center"/>
    </xf>
    <xf numFmtId="166" fontId="11" fillId="0" borderId="33" xfId="3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0" borderId="0" xfId="3" applyFont="1" applyAlignment="1">
      <alignment horizontal="center" vertical="center"/>
    </xf>
    <xf numFmtId="166" fontId="11" fillId="0" borderId="3" xfId="3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14" fillId="0" borderId="0" xfId="3" applyFont="1" applyAlignment="1">
      <alignment horizontal="right" vertical="center"/>
    </xf>
    <xf numFmtId="166" fontId="11" fillId="2" borderId="7" xfId="3" applyFont="1" applyFill="1" applyBorder="1" applyAlignment="1">
      <alignment horizontal="center" vertical="center"/>
    </xf>
    <xf numFmtId="166" fontId="11" fillId="0" borderId="12" xfId="3" applyFont="1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166" fontId="11" fillId="0" borderId="8" xfId="3" applyFont="1" applyBorder="1" applyAlignment="1">
      <alignment vertical="center"/>
    </xf>
    <xf numFmtId="10" fontId="11" fillId="0" borderId="13" xfId="2" applyNumberFormat="1" applyFont="1" applyBorder="1" applyAlignment="1">
      <alignment vertical="center"/>
    </xf>
    <xf numFmtId="166" fontId="11" fillId="0" borderId="36" xfId="3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4" fillId="0" borderId="37" xfId="3" applyFont="1" applyBorder="1" applyAlignment="1">
      <alignment vertical="center"/>
    </xf>
    <xf numFmtId="166" fontId="14" fillId="0" borderId="39" xfId="3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166" fontId="11" fillId="0" borderId="12" xfId="3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6" borderId="1" xfId="3" applyFont="1" applyFill="1" applyBorder="1" applyAlignment="1">
      <alignment horizontal="center" vertical="center"/>
    </xf>
    <xf numFmtId="166" fontId="14" fillId="6" borderId="1" xfId="3" applyFont="1" applyFill="1" applyBorder="1" applyAlignment="1">
      <alignment vertical="center"/>
    </xf>
    <xf numFmtId="9" fontId="11" fillId="0" borderId="16" xfId="2" applyFont="1" applyBorder="1" applyAlignment="1">
      <alignment vertical="center"/>
    </xf>
    <xf numFmtId="10" fontId="14" fillId="0" borderId="13" xfId="2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66" fontId="14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6" fontId="0" fillId="0" borderId="0" xfId="3" applyFont="1" applyFill="1" applyBorder="1" applyAlignment="1">
      <alignment vertical="center"/>
    </xf>
    <xf numFmtId="166" fontId="0" fillId="0" borderId="37" xfId="3" applyFont="1" applyFill="1" applyBorder="1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167" fontId="11" fillId="0" borderId="0" xfId="3" applyNumberFormat="1" applyFont="1" applyBorder="1" applyAlignment="1">
      <alignment horizontal="center" vertical="center"/>
    </xf>
    <xf numFmtId="0" fontId="23" fillId="0" borderId="12" xfId="0" applyFont="1" applyBorder="1"/>
    <xf numFmtId="0" fontId="14" fillId="0" borderId="0" xfId="0" applyFont="1" applyBorder="1"/>
    <xf numFmtId="0" fontId="23" fillId="0" borderId="45" xfId="0" applyFont="1" applyBorder="1"/>
    <xf numFmtId="0" fontId="23" fillId="3" borderId="18" xfId="0" applyFont="1" applyFill="1" applyBorder="1"/>
    <xf numFmtId="0" fontId="23" fillId="0" borderId="21" xfId="0" applyFont="1" applyBorder="1"/>
    <xf numFmtId="0" fontId="23" fillId="0" borderId="49" xfId="0" applyFont="1" applyBorder="1"/>
    <xf numFmtId="0" fontId="23" fillId="0" borderId="46" xfId="0" applyFont="1" applyBorder="1"/>
    <xf numFmtId="0" fontId="23" fillId="0" borderId="50" xfId="0" applyFont="1" applyBorder="1"/>
    <xf numFmtId="0" fontId="23" fillId="0" borderId="18" xfId="0" applyFont="1" applyBorder="1"/>
    <xf numFmtId="0" fontId="23" fillId="0" borderId="26" xfId="0" applyFont="1" applyBorder="1"/>
    <xf numFmtId="2" fontId="24" fillId="7" borderId="1" xfId="0" applyNumberFormat="1" applyFont="1" applyFill="1" applyBorder="1" applyAlignment="1">
      <alignment horizontal="right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2" fontId="24" fillId="7" borderId="34" xfId="0" applyNumberFormat="1" applyFont="1" applyFill="1" applyBorder="1" applyAlignment="1">
      <alignment horizontal="right" vertical="center"/>
    </xf>
    <xf numFmtId="0" fontId="24" fillId="0" borderId="2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10" fontId="24" fillId="0" borderId="18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10" fontId="25" fillId="0" borderId="18" xfId="0" applyNumberFormat="1" applyFont="1" applyBorder="1" applyAlignment="1">
      <alignment horizontal="right" vertical="center"/>
    </xf>
    <xf numFmtId="0" fontId="24" fillId="5" borderId="21" xfId="0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left" vertical="center"/>
    </xf>
    <xf numFmtId="10" fontId="25" fillId="5" borderId="18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0" fontId="14" fillId="0" borderId="0" xfId="0" applyNumberFormat="1" applyFont="1"/>
    <xf numFmtId="9" fontId="24" fillId="0" borderId="0" xfId="2" applyFont="1" applyBorder="1" applyAlignment="1">
      <alignment horizontal="right" vertical="center"/>
    </xf>
    <xf numFmtId="10" fontId="14" fillId="0" borderId="0" xfId="0" applyNumberFormat="1" applyFont="1" applyBorder="1"/>
    <xf numFmtId="0" fontId="24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4" fillId="9" borderId="22" xfId="0" applyFont="1" applyFill="1" applyBorder="1" applyAlignment="1">
      <alignment horizontal="left" vertical="center"/>
    </xf>
    <xf numFmtId="0" fontId="25" fillId="9" borderId="34" xfId="0" applyFont="1" applyFill="1" applyBorder="1" applyAlignment="1">
      <alignment horizontal="left" vertical="center"/>
    </xf>
    <xf numFmtId="10" fontId="25" fillId="9" borderId="3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10" fontId="25" fillId="0" borderId="0" xfId="0" applyNumberFormat="1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left" vertical="center"/>
    </xf>
    <xf numFmtId="10" fontId="24" fillId="0" borderId="0" xfId="0" applyNumberFormat="1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left" vertical="center"/>
    </xf>
    <xf numFmtId="10" fontId="24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10" fontId="25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justify" vertical="center"/>
    </xf>
    <xf numFmtId="0" fontId="16" fillId="0" borderId="0" xfId="1" applyFont="1" applyBorder="1" applyAlignment="1" applyProtection="1">
      <alignment horizontal="left" vertical="center"/>
    </xf>
    <xf numFmtId="0" fontId="29" fillId="0" borderId="0" xfId="0" applyFont="1" applyBorder="1"/>
    <xf numFmtId="0" fontId="24" fillId="0" borderId="0" xfId="0" applyFont="1" applyBorder="1" applyAlignment="1">
      <alignment horizontal="right" vertical="center"/>
    </xf>
    <xf numFmtId="0" fontId="16" fillId="0" borderId="0" xfId="1" applyFont="1" applyBorder="1" applyAlignment="1" applyProtection="1">
      <alignment vertical="center"/>
    </xf>
    <xf numFmtId="0" fontId="13" fillId="0" borderId="13" xfId="0" applyFont="1" applyBorder="1"/>
    <xf numFmtId="0" fontId="13" fillId="0" borderId="21" xfId="0" applyFont="1" applyBorder="1"/>
    <xf numFmtId="0" fontId="13" fillId="3" borderId="18" xfId="0" applyFont="1" applyFill="1" applyBorder="1"/>
    <xf numFmtId="0" fontId="13" fillId="0" borderId="45" xfId="0" applyFont="1" applyBorder="1"/>
    <xf numFmtId="0" fontId="13" fillId="3" borderId="46" xfId="0" applyFont="1" applyFill="1" applyBorder="1"/>
    <xf numFmtId="0" fontId="13" fillId="0" borderId="47" xfId="0" applyFont="1" applyBorder="1"/>
    <xf numFmtId="0" fontId="13" fillId="3" borderId="48" xfId="0" applyFont="1" applyFill="1" applyBorder="1"/>
    <xf numFmtId="0" fontId="13" fillId="0" borderId="36" xfId="0" applyFont="1" applyBorder="1"/>
    <xf numFmtId="0" fontId="13" fillId="0" borderId="37" xfId="0" applyFont="1" applyBorder="1"/>
    <xf numFmtId="0" fontId="15" fillId="0" borderId="46" xfId="0" applyFont="1" applyBorder="1"/>
    <xf numFmtId="9" fontId="15" fillId="0" borderId="46" xfId="0" applyNumberFormat="1" applyFont="1" applyBorder="1"/>
    <xf numFmtId="0" fontId="15" fillId="0" borderId="36" xfId="0" applyFont="1" applyFill="1" applyBorder="1" applyAlignment="1">
      <alignment horizontal="left" vertical="center"/>
    </xf>
    <xf numFmtId="0" fontId="13" fillId="0" borderId="0" xfId="0" applyFont="1" applyBorder="1"/>
    <xf numFmtId="9" fontId="13" fillId="0" borderId="21" xfId="2" applyFont="1" applyBorder="1"/>
    <xf numFmtId="9" fontId="13" fillId="0" borderId="1" xfId="2" applyFont="1" applyBorder="1" applyAlignment="1">
      <alignment horizontal="center"/>
    </xf>
    <xf numFmtId="9" fontId="13" fillId="0" borderId="18" xfId="2" applyFont="1" applyBorder="1"/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center" vertical="center"/>
    </xf>
    <xf numFmtId="10" fontId="13" fillId="3" borderId="10" xfId="0" applyNumberFormat="1" applyFont="1" applyFill="1" applyBorder="1" applyAlignment="1">
      <alignment horizontal="center" vertical="center"/>
    </xf>
    <xf numFmtId="10" fontId="13" fillId="0" borderId="18" xfId="2" applyNumberFormat="1" applyFont="1" applyBorder="1"/>
    <xf numFmtId="0" fontId="13" fillId="0" borderId="2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0" fontId="13" fillId="3" borderId="18" xfId="0" applyNumberFormat="1" applyFont="1" applyFill="1" applyBorder="1" applyAlignment="1">
      <alignment horizontal="center" vertical="center"/>
    </xf>
    <xf numFmtId="10" fontId="13" fillId="0" borderId="18" xfId="0" applyNumberFormat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18" xfId="0" applyFont="1" applyBorder="1"/>
    <xf numFmtId="0" fontId="13" fillId="0" borderId="22" xfId="0" applyFont="1" applyFill="1" applyBorder="1" applyAlignment="1">
      <alignment horizontal="left" vertical="center"/>
    </xf>
    <xf numFmtId="10" fontId="13" fillId="3" borderId="3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10" fontId="13" fillId="0" borderId="25" xfId="0" applyNumberFormat="1" applyFont="1" applyFill="1" applyBorder="1" applyAlignment="1">
      <alignment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10" fontId="15" fillId="5" borderId="7" xfId="0" applyNumberFormat="1" applyFont="1" applyFill="1" applyBorder="1" applyAlignment="1">
      <alignment horizontal="center" vertical="center" wrapText="1"/>
    </xf>
    <xf numFmtId="10" fontId="13" fillId="0" borderId="21" xfId="2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0" fontId="13" fillId="0" borderId="18" xfId="2" applyNumberFormat="1" applyFont="1" applyBorder="1" applyAlignment="1">
      <alignment horizontal="right"/>
    </xf>
    <xf numFmtId="10" fontId="13" fillId="0" borderId="22" xfId="2" applyNumberFormat="1" applyFont="1" applyBorder="1" applyAlignment="1">
      <alignment horizontal="right"/>
    </xf>
    <xf numFmtId="10" fontId="13" fillId="0" borderId="34" xfId="2" applyNumberFormat="1" applyFont="1" applyBorder="1" applyAlignment="1">
      <alignment horizontal="right"/>
    </xf>
    <xf numFmtId="10" fontId="13" fillId="0" borderId="35" xfId="2" applyNumberFormat="1" applyFont="1" applyBorder="1" applyAlignment="1">
      <alignment horizontal="right"/>
    </xf>
    <xf numFmtId="1" fontId="14" fillId="0" borderId="0" xfId="3" applyNumberFormat="1" applyFont="1" applyBorder="1" applyAlignment="1">
      <alignment horizontal="center" vertical="center"/>
    </xf>
    <xf numFmtId="166" fontId="11" fillId="0" borderId="7" xfId="3" applyFont="1" applyBorder="1" applyAlignment="1">
      <alignment horizontal="right" vertical="center"/>
    </xf>
    <xf numFmtId="166" fontId="11" fillId="2" borderId="4" xfId="3" applyFont="1" applyFill="1" applyBorder="1" applyAlignment="1">
      <alignment horizontal="right" vertical="center"/>
    </xf>
    <xf numFmtId="169" fontId="11" fillId="0" borderId="1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11" fillId="0" borderId="34" xfId="0" applyNumberFormat="1" applyFont="1" applyBorder="1" applyAlignment="1">
      <alignment vertical="center"/>
    </xf>
    <xf numFmtId="166" fontId="11" fillId="0" borderId="9" xfId="3" applyFont="1" applyBorder="1" applyAlignment="1">
      <alignment vertical="center"/>
    </xf>
    <xf numFmtId="166" fontId="11" fillId="0" borderId="5" xfId="3" applyFont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6" fontId="11" fillId="0" borderId="8" xfId="3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168" fontId="14" fillId="0" borderId="1" xfId="3" applyNumberFormat="1" applyFont="1" applyBorder="1" applyAlignment="1">
      <alignment horizontal="center" vertical="center"/>
    </xf>
    <xf numFmtId="167" fontId="11" fillId="0" borderId="1" xfId="3" applyNumberFormat="1" applyFont="1" applyBorder="1" applyAlignment="1">
      <alignment horizontal="center" vertical="center"/>
    </xf>
    <xf numFmtId="168" fontId="11" fillId="0" borderId="1" xfId="3" applyNumberFormat="1" applyFont="1" applyBorder="1" applyAlignment="1">
      <alignment horizontal="center" vertical="center"/>
    </xf>
    <xf numFmtId="168" fontId="14" fillId="0" borderId="2" xfId="3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/>
    <xf numFmtId="170" fontId="23" fillId="0" borderId="46" xfId="0" applyNumberFormat="1" applyFont="1" applyBorder="1"/>
    <xf numFmtId="170" fontId="15" fillId="0" borderId="46" xfId="0" applyNumberFormat="1" applyFont="1" applyBorder="1"/>
    <xf numFmtId="170" fontId="15" fillId="0" borderId="29" xfId="0" applyNumberFormat="1" applyFont="1" applyBorder="1"/>
    <xf numFmtId="0" fontId="11" fillId="0" borderId="51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166" fontId="11" fillId="0" borderId="51" xfId="3" applyFont="1" applyBorder="1" applyAlignment="1">
      <alignment horizontal="center" vertical="center"/>
    </xf>
    <xf numFmtId="166" fontId="11" fillId="0" borderId="51" xfId="3" applyFont="1" applyFill="1" applyBorder="1" applyAlignment="1">
      <alignment horizontal="center" vertical="center"/>
    </xf>
    <xf numFmtId="0" fontId="13" fillId="0" borderId="21" xfId="0" applyFont="1" applyBorder="1" applyAlignment="1">
      <alignment horizontal="right"/>
    </xf>
    <xf numFmtId="10" fontId="11" fillId="3" borderId="7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1" fontId="14" fillId="0" borderId="35" xfId="3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66" fontId="9" fillId="3" borderId="2" xfId="3" applyFont="1" applyFill="1" applyBorder="1" applyAlignment="1">
      <alignment horizontal="center" vertical="center"/>
    </xf>
    <xf numFmtId="166" fontId="9" fillId="3" borderId="1" xfId="3" applyNumberFormat="1" applyFont="1" applyFill="1" applyBorder="1" applyAlignment="1">
      <alignment horizontal="center" vertical="center"/>
    </xf>
    <xf numFmtId="166" fontId="9" fillId="3" borderId="1" xfId="3" applyFont="1" applyFill="1" applyBorder="1" applyAlignment="1">
      <alignment horizontal="center" vertical="center"/>
    </xf>
    <xf numFmtId="166" fontId="14" fillId="0" borderId="3" xfId="3" applyFont="1" applyBorder="1" applyAlignment="1">
      <alignment horizontal="center" vertical="center"/>
    </xf>
    <xf numFmtId="166" fontId="11" fillId="0" borderId="12" xfId="3" applyFont="1" applyBorder="1" applyAlignment="1">
      <alignment horizontal="left" vertical="center"/>
    </xf>
    <xf numFmtId="43" fontId="14" fillId="0" borderId="1" xfId="0" applyNumberFormat="1" applyFont="1" applyBorder="1" applyAlignment="1">
      <alignment horizontal="center" vertical="center"/>
    </xf>
    <xf numFmtId="166" fontId="0" fillId="3" borderId="1" xfId="3" applyFont="1" applyFill="1" applyBorder="1"/>
    <xf numFmtId="13" fontId="14" fillId="3" borderId="1" xfId="0" applyNumberFormat="1" applyFont="1" applyFill="1" applyBorder="1" applyAlignment="1">
      <alignment vertical="center"/>
    </xf>
    <xf numFmtId="13" fontId="9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3" fontId="14" fillId="3" borderId="1" xfId="0" applyNumberFormat="1" applyFont="1" applyFill="1" applyBorder="1" applyAlignment="1">
      <alignment horizontal="right" vertical="center"/>
    </xf>
    <xf numFmtId="169" fontId="11" fillId="0" borderId="3" xfId="0" applyNumberFormat="1" applyFont="1" applyBorder="1" applyAlignment="1">
      <alignment vertical="center"/>
    </xf>
    <xf numFmtId="166" fontId="11" fillId="2" borderId="1" xfId="3" applyFont="1" applyFill="1" applyBorder="1" applyAlignment="1">
      <alignment horizontal="right" vertical="center"/>
    </xf>
    <xf numFmtId="166" fontId="11" fillId="0" borderId="1" xfId="3" applyFont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166" fontId="14" fillId="3" borderId="1" xfId="3" applyFont="1" applyFill="1" applyBorder="1" applyAlignment="1">
      <alignment vertical="center"/>
    </xf>
    <xf numFmtId="166" fontId="14" fillId="0" borderId="0" xfId="3" applyFont="1" applyFill="1" applyAlignment="1">
      <alignment vertical="center"/>
    </xf>
    <xf numFmtId="166" fontId="9" fillId="0" borderId="1" xfId="3" applyFont="1" applyBorder="1" applyAlignment="1">
      <alignment horizontal="center" vertical="center"/>
    </xf>
    <xf numFmtId="168" fontId="9" fillId="0" borderId="1" xfId="3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3" applyFont="1" applyAlignment="1">
      <alignment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166" fontId="33" fillId="2" borderId="15" xfId="3" applyFont="1" applyFill="1" applyBorder="1" applyAlignment="1">
      <alignment horizontal="center" vertical="center"/>
    </xf>
    <xf numFmtId="166" fontId="33" fillId="2" borderId="16" xfId="3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166" fontId="32" fillId="0" borderId="2" xfId="3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166" fontId="32" fillId="0" borderId="1" xfId="3" applyFont="1" applyBorder="1" applyAlignment="1">
      <alignment horizontal="center" vertical="center"/>
    </xf>
    <xf numFmtId="2" fontId="32" fillId="0" borderId="1" xfId="3" applyNumberFormat="1" applyFont="1" applyBorder="1" applyAlignment="1">
      <alignment horizontal="center" vertical="center"/>
    </xf>
    <xf numFmtId="166" fontId="32" fillId="0" borderId="1" xfId="3" applyFont="1" applyFill="1" applyBorder="1" applyAlignment="1">
      <alignment horizontal="center" vertical="center"/>
    </xf>
    <xf numFmtId="166" fontId="32" fillId="0" borderId="3" xfId="3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3" applyFont="1" applyAlignment="1">
      <alignment horizontal="center" vertical="center"/>
    </xf>
    <xf numFmtId="166" fontId="35" fillId="0" borderId="3" xfId="3" applyFont="1" applyBorder="1" applyAlignment="1">
      <alignment horizontal="center" vertical="center"/>
    </xf>
    <xf numFmtId="166" fontId="32" fillId="6" borderId="1" xfId="3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66" fontId="32" fillId="0" borderId="0" xfId="3" applyFont="1" applyAlignment="1">
      <alignment horizontal="right" vertical="center"/>
    </xf>
    <xf numFmtId="173" fontId="32" fillId="0" borderId="1" xfId="3" applyNumberFormat="1" applyFont="1" applyBorder="1" applyAlignment="1">
      <alignment vertical="center"/>
    </xf>
    <xf numFmtId="166" fontId="35" fillId="2" borderId="7" xfId="3" applyFont="1" applyFill="1" applyBorder="1" applyAlignment="1">
      <alignment horizontal="center" vertical="center"/>
    </xf>
    <xf numFmtId="166" fontId="32" fillId="3" borderId="2" xfId="3" applyFont="1" applyFill="1" applyBorder="1" applyAlignment="1">
      <alignment horizontal="center" vertical="center"/>
    </xf>
    <xf numFmtId="43" fontId="32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166" fontId="35" fillId="0" borderId="1" xfId="3" applyFont="1" applyBorder="1" applyAlignment="1">
      <alignment horizontal="center" vertical="center"/>
    </xf>
    <xf numFmtId="166" fontId="35" fillId="0" borderId="0" xfId="3" applyFont="1" applyAlignment="1">
      <alignment vertical="center"/>
    </xf>
    <xf numFmtId="0" fontId="35" fillId="0" borderId="8" xfId="0" applyFont="1" applyBorder="1" applyAlignment="1">
      <alignment horizontal="center" vertical="center"/>
    </xf>
    <xf numFmtId="166" fontId="35" fillId="0" borderId="8" xfId="3" applyFont="1" applyBorder="1" applyAlignment="1">
      <alignment horizontal="center" vertical="center"/>
    </xf>
    <xf numFmtId="166" fontId="32" fillId="0" borderId="0" xfId="3" applyFont="1" applyBorder="1" applyAlignment="1">
      <alignment vertical="center"/>
    </xf>
    <xf numFmtId="167" fontId="9" fillId="0" borderId="1" xfId="3" applyNumberFormat="1" applyFont="1" applyFill="1" applyBorder="1" applyAlignment="1">
      <alignment vertical="center"/>
    </xf>
    <xf numFmtId="166" fontId="9" fillId="4" borderId="1" xfId="3" applyFont="1" applyFill="1" applyBorder="1" applyAlignment="1">
      <alignment horizontal="center" vertical="center"/>
    </xf>
    <xf numFmtId="166" fontId="9" fillId="0" borderId="38" xfId="3" applyFont="1" applyBorder="1" applyAlignment="1">
      <alignment vertical="center"/>
    </xf>
    <xf numFmtId="168" fontId="14" fillId="3" borderId="1" xfId="3" applyNumberFormat="1" applyFont="1" applyFill="1" applyBorder="1" applyAlignment="1">
      <alignment vertical="center"/>
    </xf>
    <xf numFmtId="173" fontId="14" fillId="3" borderId="1" xfId="3" applyNumberFormat="1" applyFont="1" applyFill="1" applyBorder="1" applyAlignment="1">
      <alignment vertical="center"/>
    </xf>
    <xf numFmtId="166" fontId="9" fillId="0" borderId="0" xfId="3" applyFont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0" xfId="3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167" fontId="9" fillId="0" borderId="0" xfId="3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2" fontId="14" fillId="0" borderId="0" xfId="0" applyNumberFormat="1" applyFont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6" fontId="11" fillId="0" borderId="12" xfId="3" applyFont="1" applyBorder="1" applyAlignment="1">
      <alignment horizontal="left" vertical="center"/>
    </xf>
    <xf numFmtId="166" fontId="11" fillId="0" borderId="8" xfId="3" applyFont="1" applyBorder="1" applyAlignment="1">
      <alignment horizontal="left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15" fillId="8" borderId="42" xfId="0" applyFont="1" applyFill="1" applyBorder="1" applyAlignment="1">
      <alignment horizontal="center" vertical="center"/>
    </xf>
    <xf numFmtId="0" fontId="15" fillId="8" borderId="40" xfId="0" applyFont="1" applyFill="1" applyBorder="1" applyAlignment="1">
      <alignment horizontal="center" vertical="center"/>
    </xf>
    <xf numFmtId="0" fontId="15" fillId="8" borderId="43" xfId="0" applyFont="1" applyFill="1" applyBorder="1" applyAlignment="1">
      <alignment horizontal="center" vertical="center"/>
    </xf>
    <xf numFmtId="166" fontId="11" fillId="0" borderId="5" xfId="3" applyFont="1" applyBorder="1" applyAlignment="1">
      <alignment horizontal="center" vertical="center"/>
    </xf>
    <xf numFmtId="166" fontId="11" fillId="0" borderId="6" xfId="3" applyFont="1" applyBorder="1" applyAlignment="1">
      <alignment horizontal="center" vertical="center"/>
    </xf>
    <xf numFmtId="166" fontId="11" fillId="0" borderId="41" xfId="3" applyFont="1" applyBorder="1" applyAlignment="1">
      <alignment horizontal="center" vertical="center"/>
    </xf>
    <xf numFmtId="166" fontId="12" fillId="8" borderId="5" xfId="3" applyFont="1" applyFill="1" applyBorder="1" applyAlignment="1">
      <alignment horizontal="center" vertical="center"/>
    </xf>
    <xf numFmtId="166" fontId="12" fillId="8" borderId="6" xfId="3" applyFont="1" applyFill="1" applyBorder="1" applyAlignment="1">
      <alignment horizontal="center" vertical="center"/>
    </xf>
    <xf numFmtId="166" fontId="12" fillId="8" borderId="7" xfId="3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/>
    </xf>
    <xf numFmtId="0" fontId="22" fillId="10" borderId="44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9" fontId="15" fillId="0" borderId="19" xfId="2" applyFont="1" applyBorder="1" applyAlignment="1">
      <alignment horizontal="center"/>
    </xf>
    <xf numFmtId="9" fontId="15" fillId="0" borderId="20" xfId="2" applyFont="1" applyBorder="1" applyAlignment="1">
      <alignment horizontal="center"/>
    </xf>
    <xf numFmtId="9" fontId="15" fillId="0" borderId="10" xfId="2" applyFont="1" applyBorder="1" applyAlignment="1">
      <alignment horizontal="center"/>
    </xf>
    <xf numFmtId="0" fontId="12" fillId="10" borderId="23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12" fillId="10" borderId="2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</cellXfs>
  <cellStyles count="29">
    <cellStyle name="Hiperlink" xfId="1" builtinId="8"/>
    <cellStyle name="Moeda 2" xfId="5"/>
    <cellStyle name="Moeda 3" xfId="13"/>
    <cellStyle name="Normal" xfId="0" builtinId="0"/>
    <cellStyle name="Normal 10" xfId="25"/>
    <cellStyle name="Normal 11" xfId="27"/>
    <cellStyle name="Normal 2" xfId="4"/>
    <cellStyle name="Normal 2 2" xfId="14"/>
    <cellStyle name="Normal 3" xfId="6"/>
    <cellStyle name="Normal 4" xfId="12"/>
    <cellStyle name="Normal 5" xfId="15"/>
    <cellStyle name="Normal 6" xfId="17"/>
    <cellStyle name="Normal 7" xfId="19"/>
    <cellStyle name="Normal 8" xfId="21"/>
    <cellStyle name="Normal 9" xfId="23"/>
    <cellStyle name="Porcentagem" xfId="2" builtinId="5"/>
    <cellStyle name="Porcentagem 2" xfId="7"/>
    <cellStyle name="Porcentagem 3" xfId="8"/>
    <cellStyle name="Separador de milhares 10" xfId="28"/>
    <cellStyle name="Separador de milhares 2" xfId="9"/>
    <cellStyle name="Separador de milhares 3" xfId="10"/>
    <cellStyle name="Separador de milhares 4" xfId="16"/>
    <cellStyle name="Separador de milhares 5" xfId="18"/>
    <cellStyle name="Separador de milhares 6" xfId="20"/>
    <cellStyle name="Separador de milhares 7" xfId="22"/>
    <cellStyle name="Separador de milhares 8" xfId="24"/>
    <cellStyle name="Separador de milhares 9" xfId="26"/>
    <cellStyle name="Vírgula" xfId="3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47"/>
  <sheetViews>
    <sheetView topLeftCell="A276" zoomScaleSheetLayoutView="100" workbookViewId="0">
      <selection activeCell="C316" sqref="C316"/>
    </sheetView>
  </sheetViews>
  <sheetFormatPr defaultColWidth="9.140625" defaultRowHeight="12.75" x14ac:dyDescent="0.2"/>
  <cols>
    <col min="1" max="1" width="44.5703125" style="9" customWidth="1"/>
    <col min="2" max="2" width="16" style="9" bestFit="1" customWidth="1"/>
    <col min="3" max="3" width="13" style="9" customWidth="1"/>
    <col min="4" max="4" width="14.7109375" style="10" customWidth="1"/>
    <col min="5" max="5" width="15.42578125" style="10" customWidth="1"/>
    <col min="6" max="6" width="14.7109375" style="10" customWidth="1"/>
    <col min="7" max="7" width="11.42578125" style="9" bestFit="1" customWidth="1"/>
    <col min="8" max="9" width="10.42578125" style="9" bestFit="1" customWidth="1"/>
    <col min="10" max="16384" width="9.140625" style="9"/>
  </cols>
  <sheetData>
    <row r="1" spans="1:6" x14ac:dyDescent="0.2">
      <c r="A1" s="11" t="s">
        <v>197</v>
      </c>
    </row>
    <row r="2" spans="1:6" x14ac:dyDescent="0.2">
      <c r="A2" s="126" t="s">
        <v>226</v>
      </c>
    </row>
    <row r="3" spans="1:6" s="4" customFormat="1" ht="15.6" customHeight="1" x14ac:dyDescent="0.2">
      <c r="A3" s="9" t="s">
        <v>198</v>
      </c>
      <c r="C3" s="125"/>
      <c r="D3" s="125"/>
      <c r="E3" s="125"/>
      <c r="F3" s="125"/>
    </row>
    <row r="4" spans="1:6" s="4" customFormat="1" ht="15.6" customHeight="1" x14ac:dyDescent="0.2">
      <c r="A4" s="126" t="s">
        <v>199</v>
      </c>
      <c r="B4" s="125"/>
      <c r="C4" s="125"/>
      <c r="D4" s="125"/>
      <c r="E4" s="125"/>
      <c r="F4" s="125"/>
    </row>
    <row r="5" spans="1:6" s="4" customFormat="1" ht="16.5" customHeight="1" thickBot="1" x14ac:dyDescent="0.25">
      <c r="A5" s="11" t="s">
        <v>294</v>
      </c>
      <c r="B5" s="5"/>
      <c r="C5" s="5"/>
      <c r="D5" s="6"/>
      <c r="E5" s="6"/>
      <c r="F5" s="6"/>
    </row>
    <row r="6" spans="1:6" s="8" customFormat="1" ht="18" x14ac:dyDescent="0.2">
      <c r="A6" s="342" t="s">
        <v>281</v>
      </c>
      <c r="B6" s="343"/>
      <c r="C6" s="343"/>
      <c r="D6" s="343"/>
      <c r="E6" s="343"/>
      <c r="F6" s="344"/>
    </row>
    <row r="7" spans="1:6" s="8" customFormat="1" ht="21.75" customHeight="1" x14ac:dyDescent="0.2">
      <c r="A7" s="345" t="s">
        <v>39</v>
      </c>
      <c r="B7" s="346"/>
      <c r="C7" s="346"/>
      <c r="D7" s="346"/>
      <c r="E7" s="346"/>
      <c r="F7" s="347"/>
    </row>
    <row r="8" spans="1:6" s="4" customFormat="1" ht="10.9" customHeight="1" thickBot="1" x14ac:dyDescent="0.25">
      <c r="A8" s="137"/>
      <c r="B8" s="138"/>
      <c r="C8" s="138"/>
      <c r="D8" s="139"/>
      <c r="E8" s="139"/>
      <c r="F8" s="140"/>
    </row>
    <row r="9" spans="1:6" s="4" customFormat="1" ht="15.75" customHeight="1" thickBot="1" x14ac:dyDescent="0.25">
      <c r="A9" s="351" t="s">
        <v>196</v>
      </c>
      <c r="B9" s="352"/>
      <c r="C9" s="352"/>
      <c r="D9" s="352"/>
      <c r="E9" s="352"/>
      <c r="F9" s="353"/>
    </row>
    <row r="10" spans="1:6" s="4" customFormat="1" ht="15.75" customHeight="1" x14ac:dyDescent="0.2">
      <c r="A10" s="61" t="s">
        <v>195</v>
      </c>
      <c r="B10" s="40"/>
      <c r="C10" s="40"/>
      <c r="D10" s="242"/>
      <c r="E10" s="105" t="s">
        <v>34</v>
      </c>
      <c r="F10" s="41" t="s">
        <v>1</v>
      </c>
    </row>
    <row r="11" spans="1:6" s="11" customFormat="1" ht="15.75" customHeight="1" x14ac:dyDescent="0.2">
      <c r="A11" s="114" t="str">
        <f>A52</f>
        <v>1. Mão-de-obra</v>
      </c>
      <c r="B11" s="115"/>
      <c r="C11" s="116"/>
      <c r="D11" s="116"/>
      <c r="E11" s="239">
        <f>+F151</f>
        <v>8109.7676238034974</v>
      </c>
      <c r="F11" s="117">
        <f t="shared" ref="F11:F33" si="0">IFERROR(E11/$E$34,0)</f>
        <v>0.26230498423973192</v>
      </c>
    </row>
    <row r="12" spans="1:6" s="4" customFormat="1" ht="15.75" customHeight="1" x14ac:dyDescent="0.2">
      <c r="A12" s="49" t="str">
        <f>A53</f>
        <v>1.1. Coletor Turno Dia</v>
      </c>
      <c r="B12" s="45"/>
      <c r="C12" s="47"/>
      <c r="D12" s="47"/>
      <c r="E12" s="240">
        <f>F62</f>
        <v>3600.2995490000003</v>
      </c>
      <c r="F12" s="55">
        <f t="shared" si="0"/>
        <v>0.11644926960506972</v>
      </c>
    </row>
    <row r="13" spans="1:6" s="4" customFormat="1" ht="15.75" hidden="1" customHeight="1" x14ac:dyDescent="0.2">
      <c r="A13" s="49" t="str">
        <f>A64</f>
        <v>1.2. Coletor Turno Noite</v>
      </c>
      <c r="B13" s="45"/>
      <c r="C13" s="47"/>
      <c r="D13" s="47"/>
      <c r="E13" s="240">
        <f>F75</f>
        <v>0</v>
      </c>
      <c r="F13" s="55">
        <f t="shared" si="0"/>
        <v>0</v>
      </c>
    </row>
    <row r="14" spans="1:6" s="4" customFormat="1" ht="15.75" customHeight="1" x14ac:dyDescent="0.2">
      <c r="A14" s="49" t="str">
        <f>A77</f>
        <v>1.3. Motorista Turno do Dia</v>
      </c>
      <c r="B14" s="45"/>
      <c r="C14" s="47"/>
      <c r="D14" s="47"/>
      <c r="E14" s="240">
        <f>F88</f>
        <v>2748.5519750000003</v>
      </c>
      <c r="F14" s="55">
        <f t="shared" si="0"/>
        <v>8.8900066676180306E-2</v>
      </c>
    </row>
    <row r="15" spans="1:6" s="4" customFormat="1" ht="15.75" hidden="1" customHeight="1" x14ac:dyDescent="0.2">
      <c r="A15" s="49" t="str">
        <f>A91</f>
        <v>1.4. Motorista Turno da Noite</v>
      </c>
      <c r="B15" s="45"/>
      <c r="C15" s="47"/>
      <c r="D15" s="47"/>
      <c r="E15" s="240">
        <f>F104</f>
        <v>0</v>
      </c>
      <c r="F15" s="55">
        <f t="shared" si="0"/>
        <v>0</v>
      </c>
    </row>
    <row r="16" spans="1:6" s="4" customFormat="1" ht="15.75" hidden="1" customHeight="1" x14ac:dyDescent="0.2">
      <c r="A16" s="49" t="str">
        <f>A107</f>
        <v>1.5. Supervisor Administrativo (Encarregado)</v>
      </c>
      <c r="B16" s="45"/>
      <c r="C16" s="47"/>
      <c r="D16" s="47"/>
      <c r="E16" s="240">
        <f>F114</f>
        <v>667.9909090909091</v>
      </c>
      <c r="F16" s="55">
        <f t="shared" si="0"/>
        <v>2.1605717082087961E-2</v>
      </c>
    </row>
    <row r="17" spans="1:6" s="4" customFormat="1" ht="15.75" hidden="1" customHeight="1" x14ac:dyDescent="0.2">
      <c r="A17" s="49" t="str">
        <f>A117</f>
        <v xml:space="preserve">1.6. Técnico Segurança do Trabalho </v>
      </c>
      <c r="B17" s="45"/>
      <c r="C17" s="47"/>
      <c r="D17" s="47"/>
      <c r="E17" s="240">
        <f>F124</f>
        <v>548.94300068181803</v>
      </c>
      <c r="F17" s="55">
        <f t="shared" si="0"/>
        <v>1.7755192481683415E-2</v>
      </c>
    </row>
    <row r="18" spans="1:6" s="4" customFormat="1" ht="15.75" customHeight="1" x14ac:dyDescent="0.2">
      <c r="A18" s="49" t="str">
        <f>A130</f>
        <v>1.7. Vale Transporte</v>
      </c>
      <c r="B18" s="45"/>
      <c r="C18" s="47"/>
      <c r="D18" s="47"/>
      <c r="E18" s="240">
        <f>F136</f>
        <v>161.29679003076924</v>
      </c>
      <c r="F18" s="55">
        <f t="shared" si="0"/>
        <v>5.2170362863119E-3</v>
      </c>
    </row>
    <row r="19" spans="1:6" s="4" customFormat="1" ht="15.75" customHeight="1" x14ac:dyDescent="0.2">
      <c r="A19" s="49" t="str">
        <f>A138</f>
        <v>1.8. Auxílio Refeição</v>
      </c>
      <c r="B19" s="45"/>
      <c r="C19" s="47"/>
      <c r="D19" s="47"/>
      <c r="E19" s="240">
        <f>F142</f>
        <v>382.68540000000002</v>
      </c>
      <c r="F19" s="55">
        <f t="shared" si="0"/>
        <v>1.2377702108398633E-2</v>
      </c>
    </row>
    <row r="20" spans="1:6" s="4" customFormat="1" ht="15.75" hidden="1" customHeight="1" x14ac:dyDescent="0.2">
      <c r="A20" s="49" t="str">
        <f>A145</f>
        <v>1.9. Auxílio Alimentação (mensal)</v>
      </c>
      <c r="B20" s="45"/>
      <c r="C20" s="47"/>
      <c r="D20" s="47"/>
      <c r="E20" s="240" t="e">
        <f>F149</f>
        <v>#REF!</v>
      </c>
      <c r="F20" s="55">
        <f t="shared" si="0"/>
        <v>0</v>
      </c>
    </row>
    <row r="21" spans="1:6" s="11" customFormat="1" ht="15.75" customHeight="1" x14ac:dyDescent="0.2">
      <c r="A21" s="340" t="str">
        <f>A153</f>
        <v>2. Uniformes e Equipamentos de Proteção Individual</v>
      </c>
      <c r="B21" s="341"/>
      <c r="C21" s="341"/>
      <c r="D21" s="116"/>
      <c r="E21" s="239">
        <f>+F186</f>
        <v>310.20249999999999</v>
      </c>
      <c r="F21" s="117">
        <f t="shared" si="0"/>
        <v>1.0033291414515753E-2</v>
      </c>
    </row>
    <row r="22" spans="1:6" s="11" customFormat="1" ht="15.75" customHeight="1" x14ac:dyDescent="0.2">
      <c r="A22" s="123" t="str">
        <f>A188</f>
        <v>3. Veículos e Equipamentos</v>
      </c>
      <c r="B22" s="124"/>
      <c r="C22" s="116"/>
      <c r="D22" s="116"/>
      <c r="E22" s="239">
        <f>+F265</f>
        <v>15312.232054826338</v>
      </c>
      <c r="F22" s="117">
        <f t="shared" si="0"/>
        <v>0.49526385639304005</v>
      </c>
    </row>
    <row r="23" spans="1:6" s="4" customFormat="1" ht="15.75" customHeight="1" x14ac:dyDescent="0.2">
      <c r="A23" s="62" t="str">
        <f>A190</f>
        <v xml:space="preserve">3.1. Veículo Coletor </v>
      </c>
      <c r="B23" s="46"/>
      <c r="C23" s="47"/>
      <c r="D23" s="47"/>
      <c r="E23" s="240">
        <f>SUM(E24:E29)</f>
        <v>15312.232054826338</v>
      </c>
      <c r="F23" s="130">
        <f t="shared" si="0"/>
        <v>0.49526385639304005</v>
      </c>
    </row>
    <row r="24" spans="1:6" s="4" customFormat="1" ht="15.75" customHeight="1" x14ac:dyDescent="0.2">
      <c r="A24" s="62" t="str">
        <f>A192</f>
        <v>3.1.1. Depreciação</v>
      </c>
      <c r="B24" s="46"/>
      <c r="C24" s="47"/>
      <c r="D24" s="47"/>
      <c r="E24" s="240">
        <f>F206</f>
        <v>1194.40647625</v>
      </c>
      <c r="F24" s="130">
        <f t="shared" si="0"/>
        <v>3.8632274864326167E-2</v>
      </c>
    </row>
    <row r="25" spans="1:6" s="4" customFormat="1" ht="15.75" customHeight="1" x14ac:dyDescent="0.2">
      <c r="A25" s="62" t="str">
        <f>A208</f>
        <v>3.1.2. Remuneração do Capital</v>
      </c>
      <c r="B25" s="46"/>
      <c r="C25" s="47"/>
      <c r="D25" s="47"/>
      <c r="E25" s="240">
        <f>F222</f>
        <v>572.82480974062514</v>
      </c>
      <c r="F25" s="130">
        <f t="shared" si="0"/>
        <v>1.852763354773812E-2</v>
      </c>
    </row>
    <row r="26" spans="1:6" s="4" customFormat="1" ht="15.75" customHeight="1" x14ac:dyDescent="0.2">
      <c r="A26" s="62" t="str">
        <f>A224</f>
        <v>3.1.3. Impostos e Seguros</v>
      </c>
      <c r="B26" s="46"/>
      <c r="C26" s="47"/>
      <c r="D26" s="47"/>
      <c r="E26" s="240">
        <f>F230</f>
        <v>236.66157428333332</v>
      </c>
      <c r="F26" s="130">
        <f t="shared" si="0"/>
        <v>7.6546595897929587E-3</v>
      </c>
    </row>
    <row r="27" spans="1:6" s="4" customFormat="1" ht="15.75" customHeight="1" x14ac:dyDescent="0.2">
      <c r="A27" s="62" t="str">
        <f>A232</f>
        <v>3.1.4. Consumos</v>
      </c>
      <c r="B27" s="46"/>
      <c r="C27" s="47"/>
      <c r="D27" s="47"/>
      <c r="E27" s="240">
        <f>F251</f>
        <v>9036.4739469333326</v>
      </c>
      <c r="F27" s="130">
        <f t="shared" si="0"/>
        <v>0.29227867753890274</v>
      </c>
    </row>
    <row r="28" spans="1:6" s="4" customFormat="1" ht="15.75" customHeight="1" x14ac:dyDescent="0.2">
      <c r="A28" s="62" t="str">
        <f>A252</f>
        <v>3.1.5. Manutenção</v>
      </c>
      <c r="B28" s="46"/>
      <c r="C28" s="47"/>
      <c r="D28" s="47"/>
      <c r="E28" s="240">
        <f>F255</f>
        <v>3310.3633333333332</v>
      </c>
      <c r="F28" s="130">
        <f t="shared" si="0"/>
        <v>0.10707147753890146</v>
      </c>
    </row>
    <row r="29" spans="1:6" s="4" customFormat="1" ht="15.75" customHeight="1" x14ac:dyDescent="0.2">
      <c r="A29" s="62" t="str">
        <f>A256</f>
        <v>3.1.6. Pneus</v>
      </c>
      <c r="B29" s="46"/>
      <c r="C29" s="47"/>
      <c r="D29" s="47"/>
      <c r="E29" s="240">
        <f>F263</f>
        <v>961.50191428571418</v>
      </c>
      <c r="F29" s="130">
        <f t="shared" si="0"/>
        <v>3.1099133313378574E-2</v>
      </c>
    </row>
    <row r="30" spans="1:6" s="11" customFormat="1" ht="15.75" customHeight="1" x14ac:dyDescent="0.2">
      <c r="A30" s="123" t="str">
        <f>A267</f>
        <v>4. Ferramentas e Materiais de Consumo</v>
      </c>
      <c r="B30" s="124"/>
      <c r="C30" s="116"/>
      <c r="D30" s="116"/>
      <c r="E30" s="239">
        <f>+F278</f>
        <v>82.018333333333345</v>
      </c>
      <c r="F30" s="117">
        <f t="shared" si="0"/>
        <v>2.6528278774872048E-3</v>
      </c>
    </row>
    <row r="31" spans="1:6" s="11" customFormat="1" ht="15.75" customHeight="1" x14ac:dyDescent="0.2">
      <c r="A31" s="123" t="str">
        <f>A283</f>
        <v xml:space="preserve">5. Destino do lixo no aterro </v>
      </c>
      <c r="B31" s="124"/>
      <c r="C31" s="116"/>
      <c r="D31" s="116"/>
      <c r="E31" s="239">
        <f>+F288</f>
        <v>0</v>
      </c>
      <c r="F31" s="117">
        <f t="shared" si="0"/>
        <v>0</v>
      </c>
    </row>
    <row r="32" spans="1:6" s="11" customFormat="1" ht="15.75" hidden="1" customHeight="1" x14ac:dyDescent="0.2">
      <c r="A32" s="278" t="str">
        <f>A290</f>
        <v xml:space="preserve">6. Administração Local/Veículo de Apoio </v>
      </c>
      <c r="B32" s="124"/>
      <c r="C32" s="116"/>
      <c r="D32" s="116"/>
      <c r="E32" s="285">
        <f>F296</f>
        <v>0</v>
      </c>
      <c r="F32" s="117">
        <f t="shared" si="0"/>
        <v>0</v>
      </c>
    </row>
    <row r="33" spans="1:6" s="11" customFormat="1" ht="15.75" customHeight="1" thickBot="1" x14ac:dyDescent="0.25">
      <c r="A33" s="123" t="str">
        <f>A300</f>
        <v>5. Benefícios e Despesas Indiretas - BDI</v>
      </c>
      <c r="B33" s="124"/>
      <c r="C33" s="116"/>
      <c r="D33" s="116"/>
      <c r="E33" s="241">
        <f>+F306</f>
        <v>7103.1013502536316</v>
      </c>
      <c r="F33" s="117">
        <f t="shared" si="0"/>
        <v>0.22974504007522512</v>
      </c>
    </row>
    <row r="34" spans="1:6" s="4" customFormat="1" ht="15.75" customHeight="1" thickBot="1" x14ac:dyDescent="0.25">
      <c r="A34" s="42" t="s">
        <v>231</v>
      </c>
      <c r="B34" s="43"/>
      <c r="C34" s="26"/>
      <c r="D34" s="26"/>
      <c r="E34" s="104">
        <f>E11+E21+E22+E30+E31+E33+E32</f>
        <v>30917.321862216799</v>
      </c>
      <c r="F34" s="129">
        <f>F11+F21+F22+F30+F31+F33+F32</f>
        <v>1</v>
      </c>
    </row>
    <row r="36" spans="1:6" ht="13.5" thickBot="1" x14ac:dyDescent="0.25">
      <c r="F36" s="290"/>
    </row>
    <row r="37" spans="1:6" s="4" customFormat="1" ht="15" customHeight="1" thickBot="1" x14ac:dyDescent="0.25">
      <c r="A37" s="351" t="s">
        <v>90</v>
      </c>
      <c r="B37" s="352"/>
      <c r="C37" s="352"/>
      <c r="D37" s="352"/>
      <c r="E37" s="353"/>
      <c r="F37" s="10"/>
    </row>
    <row r="38" spans="1:6" s="4" customFormat="1" ht="15" customHeight="1" thickBot="1" x14ac:dyDescent="0.25">
      <c r="A38" s="348" t="s">
        <v>35</v>
      </c>
      <c r="B38" s="349"/>
      <c r="C38" s="349"/>
      <c r="D38" s="350"/>
      <c r="E38" s="48" t="s">
        <v>36</v>
      </c>
      <c r="F38" s="10"/>
    </row>
    <row r="39" spans="1:6" s="4" customFormat="1" ht="15" customHeight="1" x14ac:dyDescent="0.2">
      <c r="A39" s="70" t="str">
        <f>+A53</f>
        <v>1.1. Coletor Turno Dia</v>
      </c>
      <c r="B39" s="71"/>
      <c r="C39" s="71"/>
      <c r="D39" s="72"/>
      <c r="E39" s="73">
        <v>2</v>
      </c>
      <c r="F39" s="10"/>
    </row>
    <row r="40" spans="1:6" s="4" customFormat="1" ht="15" customHeight="1" x14ac:dyDescent="0.2">
      <c r="A40" s="64" t="str">
        <f>+A64</f>
        <v>1.2. Coletor Turno Noite</v>
      </c>
      <c r="B40" s="63"/>
      <c r="C40" s="63"/>
      <c r="D40" s="74"/>
      <c r="E40" s="67">
        <f>C74</f>
        <v>0</v>
      </c>
      <c r="F40" s="10"/>
    </row>
    <row r="41" spans="1:6" s="4" customFormat="1" ht="15" customHeight="1" x14ac:dyDescent="0.2">
      <c r="A41" s="64" t="str">
        <f>+A77</f>
        <v>1.3. Motorista Turno do Dia</v>
      </c>
      <c r="B41" s="63"/>
      <c r="C41" s="63"/>
      <c r="D41" s="74"/>
      <c r="E41" s="67">
        <f>C87</f>
        <v>1</v>
      </c>
      <c r="F41" s="10"/>
    </row>
    <row r="42" spans="1:6" s="4" customFormat="1" ht="15" hidden="1" customHeight="1" x14ac:dyDescent="0.2">
      <c r="A42" s="64" t="str">
        <f>A91</f>
        <v>1.4. Motorista Turno da Noite</v>
      </c>
      <c r="B42" s="63"/>
      <c r="C42" s="63"/>
      <c r="D42" s="74"/>
      <c r="E42" s="67">
        <f>C103</f>
        <v>0</v>
      </c>
      <c r="F42" s="10"/>
    </row>
    <row r="43" spans="1:6" s="4" customFormat="1" ht="15" hidden="1" customHeight="1" x14ac:dyDescent="0.2">
      <c r="A43" s="64" t="str">
        <f>+A107</f>
        <v>1.5. Supervisor Administrativo (Encarregado)</v>
      </c>
      <c r="B43" s="63"/>
      <c r="C43" s="63"/>
      <c r="D43" s="74"/>
      <c r="E43" s="67">
        <f>C113</f>
        <v>1</v>
      </c>
      <c r="F43" s="10"/>
    </row>
    <row r="44" spans="1:6" s="4" customFormat="1" ht="15" customHeight="1" thickBot="1" x14ac:dyDescent="0.25">
      <c r="A44" s="68" t="s">
        <v>55</v>
      </c>
      <c r="B44" s="69"/>
      <c r="C44" s="69"/>
      <c r="D44" s="75"/>
      <c r="E44" s="76">
        <v>3</v>
      </c>
      <c r="F44" s="10"/>
    </row>
    <row r="45" spans="1:6" s="4" customFormat="1" ht="15" customHeight="1" thickBot="1" x14ac:dyDescent="0.25">
      <c r="A45" s="118"/>
      <c r="B45" s="119"/>
      <c r="C45" s="56"/>
      <c r="D45" s="56"/>
      <c r="E45" s="120"/>
      <c r="F45" s="10"/>
    </row>
    <row r="46" spans="1:6" s="4" customFormat="1" ht="15" customHeight="1" x14ac:dyDescent="0.2">
      <c r="A46" s="338" t="s">
        <v>52</v>
      </c>
      <c r="B46" s="339"/>
      <c r="C46" s="339"/>
      <c r="D46" s="339"/>
      <c r="E46" s="48" t="s">
        <v>36</v>
      </c>
      <c r="F46" s="9"/>
    </row>
    <row r="47" spans="1:6" s="4" customFormat="1" ht="15" customHeight="1" thickBot="1" x14ac:dyDescent="0.25">
      <c r="A47" s="328" t="s">
        <v>298</v>
      </c>
      <c r="B47" s="121"/>
      <c r="C47" s="121"/>
      <c r="D47" s="122"/>
      <c r="E47" s="271">
        <v>1</v>
      </c>
      <c r="F47" s="9"/>
    </row>
    <row r="48" spans="1:6" s="4" customFormat="1" ht="15" customHeight="1" x14ac:dyDescent="0.2">
      <c r="A48" s="56"/>
      <c r="B48" s="56"/>
      <c r="C48" s="56"/>
      <c r="D48" s="53"/>
      <c r="E48" s="236"/>
      <c r="F48" s="9"/>
    </row>
    <row r="49" spans="1:6" s="4" customFormat="1" ht="13.5" thickBot="1" x14ac:dyDescent="0.25">
      <c r="A49" s="56"/>
      <c r="B49" s="56"/>
      <c r="C49" s="56"/>
      <c r="D49" s="53"/>
      <c r="E49" s="65"/>
      <c r="F49" s="9"/>
    </row>
    <row r="50" spans="1:6" s="11" customFormat="1" ht="15.75" customHeight="1" thickBot="1" x14ac:dyDescent="0.25">
      <c r="A50" s="243" t="s">
        <v>190</v>
      </c>
      <c r="B50" s="268">
        <v>0.5</v>
      </c>
      <c r="C50" s="35"/>
      <c r="D50" s="34"/>
      <c r="E50" s="142"/>
    </row>
    <row r="51" spans="1:6" s="4" customFormat="1" ht="15.75" customHeight="1" x14ac:dyDescent="0.2">
      <c r="A51" s="56"/>
      <c r="B51" s="56"/>
      <c r="C51" s="56"/>
      <c r="D51" s="53"/>
      <c r="E51" s="65"/>
      <c r="F51" s="9"/>
    </row>
    <row r="52" spans="1:6" ht="13.15" customHeight="1" x14ac:dyDescent="0.2">
      <c r="A52" s="11" t="s">
        <v>43</v>
      </c>
    </row>
    <row r="53" spans="1:6" ht="13.9" customHeight="1" thickBot="1" x14ac:dyDescent="0.25">
      <c r="A53" s="9" t="s">
        <v>92</v>
      </c>
    </row>
    <row r="54" spans="1:6" ht="13.9" customHeight="1" thickBot="1" x14ac:dyDescent="0.25">
      <c r="A54" s="57" t="s">
        <v>59</v>
      </c>
      <c r="B54" s="58" t="s">
        <v>60</v>
      </c>
      <c r="C54" s="58" t="s">
        <v>36</v>
      </c>
      <c r="D54" s="59" t="s">
        <v>228</v>
      </c>
      <c r="E54" s="59" t="s">
        <v>61</v>
      </c>
      <c r="F54" s="60" t="s">
        <v>62</v>
      </c>
    </row>
    <row r="55" spans="1:6" ht="13.15" customHeight="1" x14ac:dyDescent="0.2">
      <c r="A55" s="13" t="s">
        <v>212</v>
      </c>
      <c r="B55" s="14" t="s">
        <v>7</v>
      </c>
      <c r="C55" s="14">
        <v>1</v>
      </c>
      <c r="D55" s="82">
        <f>1278.2*1.15</f>
        <v>1469.9299999999998</v>
      </c>
      <c r="E55" s="15">
        <f>C55*D55</f>
        <v>1469.9299999999998</v>
      </c>
    </row>
    <row r="56" spans="1:6" ht="13.15" hidden="1" customHeight="1" x14ac:dyDescent="0.2">
      <c r="A56" s="269" t="s">
        <v>258</v>
      </c>
      <c r="B56" s="270" t="s">
        <v>257</v>
      </c>
      <c r="C56" s="17">
        <v>0</v>
      </c>
      <c r="D56" s="79">
        <f>D55/220*2</f>
        <v>13.362999999999998</v>
      </c>
      <c r="E56" s="277">
        <f>C56*D56</f>
        <v>0</v>
      </c>
    </row>
    <row r="57" spans="1:6" x14ac:dyDescent="0.2">
      <c r="A57" s="16" t="s">
        <v>0</v>
      </c>
      <c r="B57" s="17" t="s">
        <v>1</v>
      </c>
      <c r="C57" s="17">
        <v>40</v>
      </c>
      <c r="D57" s="79">
        <f>SUM(E55:E56)</f>
        <v>1469.9299999999998</v>
      </c>
      <c r="E57" s="18">
        <f>C57*D57/100</f>
        <v>587.97199999999998</v>
      </c>
    </row>
    <row r="58" spans="1:6" x14ac:dyDescent="0.2">
      <c r="A58" s="106" t="s">
        <v>2</v>
      </c>
      <c r="B58" s="107"/>
      <c r="C58" s="107"/>
      <c r="D58" s="108"/>
      <c r="E58" s="109">
        <f>SUM(E55:E57)</f>
        <v>2057.902</v>
      </c>
    </row>
    <row r="59" spans="1:6" x14ac:dyDescent="0.2">
      <c r="A59" s="16" t="s">
        <v>3</v>
      </c>
      <c r="B59" s="17" t="s">
        <v>1</v>
      </c>
      <c r="C59" s="127">
        <f>'2.Encargos Sociais'!$C$34*100</f>
        <v>74.95</v>
      </c>
      <c r="D59" s="18">
        <f>E58</f>
        <v>2057.902</v>
      </c>
      <c r="E59" s="18">
        <f>D59*C59/100</f>
        <v>1542.397549</v>
      </c>
    </row>
    <row r="60" spans="1:6" x14ac:dyDescent="0.2">
      <c r="A60" s="106" t="s">
        <v>68</v>
      </c>
      <c r="B60" s="107"/>
      <c r="C60" s="107"/>
      <c r="D60" s="108"/>
      <c r="E60" s="109">
        <f>E58+E59</f>
        <v>3600.2995490000003</v>
      </c>
    </row>
    <row r="61" spans="1:6" ht="13.5" thickBot="1" x14ac:dyDescent="0.25">
      <c r="A61" s="16" t="s">
        <v>4</v>
      </c>
      <c r="B61" s="17" t="s">
        <v>5</v>
      </c>
      <c r="C61" s="81">
        <v>2</v>
      </c>
      <c r="D61" s="18">
        <f>E60</f>
        <v>3600.2995490000003</v>
      </c>
      <c r="E61" s="18">
        <f>C61*D61</f>
        <v>7200.5990980000006</v>
      </c>
    </row>
    <row r="62" spans="1:6" ht="13.9" customHeight="1" thickBot="1" x14ac:dyDescent="0.25">
      <c r="D62" s="112" t="s">
        <v>189</v>
      </c>
      <c r="E62" s="330">
        <f>$B$50</f>
        <v>0.5</v>
      </c>
      <c r="F62" s="113">
        <f>E61*E62</f>
        <v>3600.2995490000003</v>
      </c>
    </row>
    <row r="63" spans="1:6" ht="11.25" hidden="1" customHeight="1" x14ac:dyDescent="0.2"/>
    <row r="64" spans="1:6" s="293" customFormat="1" ht="13.5" hidden="1" thickBot="1" x14ac:dyDescent="0.25">
      <c r="A64" s="293" t="s">
        <v>84</v>
      </c>
      <c r="D64" s="294"/>
      <c r="E64" s="294"/>
      <c r="F64" s="294"/>
    </row>
    <row r="65" spans="1:6" s="293" customFormat="1" ht="13.5" hidden="1" thickBot="1" x14ac:dyDescent="0.25">
      <c r="A65" s="295" t="s">
        <v>59</v>
      </c>
      <c r="B65" s="296" t="s">
        <v>60</v>
      </c>
      <c r="C65" s="296" t="s">
        <v>36</v>
      </c>
      <c r="D65" s="297" t="s">
        <v>228</v>
      </c>
      <c r="E65" s="297" t="s">
        <v>61</v>
      </c>
      <c r="F65" s="298" t="s">
        <v>296</v>
      </c>
    </row>
    <row r="66" spans="1:6" s="293" customFormat="1" hidden="1" x14ac:dyDescent="0.2">
      <c r="A66" s="299" t="s">
        <v>212</v>
      </c>
      <c r="B66" s="300" t="s">
        <v>7</v>
      </c>
      <c r="C66" s="300">
        <v>0</v>
      </c>
      <c r="D66" s="301">
        <f>D55</f>
        <v>1469.9299999999998</v>
      </c>
      <c r="E66" s="301">
        <f>C66*D66</f>
        <v>0</v>
      </c>
      <c r="F66" s="294"/>
    </row>
    <row r="67" spans="1:6" s="293" customFormat="1" hidden="1" x14ac:dyDescent="0.2">
      <c r="A67" s="302" t="s">
        <v>6</v>
      </c>
      <c r="B67" s="303" t="s">
        <v>91</v>
      </c>
      <c r="C67" s="304">
        <v>0</v>
      </c>
      <c r="D67" s="305"/>
      <c r="E67" s="305"/>
      <c r="F67" s="294"/>
    </row>
    <row r="68" spans="1:6" s="293" customFormat="1" hidden="1" x14ac:dyDescent="0.2">
      <c r="A68" s="302"/>
      <c r="B68" s="303" t="s">
        <v>94</v>
      </c>
      <c r="C68" s="306">
        <f>C67*8/7</f>
        <v>0</v>
      </c>
      <c r="D68" s="305">
        <f>D66/220*0.2</f>
        <v>1.3362999999999998</v>
      </c>
      <c r="E68" s="305">
        <f>C67*D68</f>
        <v>0</v>
      </c>
      <c r="F68" s="294"/>
    </row>
    <row r="69" spans="1:6" s="293" customFormat="1" hidden="1" x14ac:dyDescent="0.2">
      <c r="A69" s="302" t="s">
        <v>258</v>
      </c>
      <c r="B69" s="303" t="s">
        <v>257</v>
      </c>
      <c r="C69" s="303">
        <v>3.5</v>
      </c>
      <c r="D69" s="307">
        <f>D66/220*2</f>
        <v>13.362999999999998</v>
      </c>
      <c r="E69" s="308">
        <f>C69*D69</f>
        <v>46.770499999999991</v>
      </c>
      <c r="F69" s="294"/>
    </row>
    <row r="70" spans="1:6" s="293" customFormat="1" hidden="1" x14ac:dyDescent="0.2">
      <c r="A70" s="302" t="s">
        <v>0</v>
      </c>
      <c r="B70" s="303" t="s">
        <v>1</v>
      </c>
      <c r="C70" s="303">
        <f>+C57</f>
        <v>40</v>
      </c>
      <c r="D70" s="307">
        <f>SUM(E66:E69)</f>
        <v>46.770499999999991</v>
      </c>
      <c r="E70" s="305">
        <f>C70*D70/100</f>
        <v>18.708199999999998</v>
      </c>
      <c r="F70" s="294"/>
    </row>
    <row r="71" spans="1:6" s="293" customFormat="1" hidden="1" x14ac:dyDescent="0.2">
      <c r="A71" s="309" t="s">
        <v>2</v>
      </c>
      <c r="B71" s="310"/>
      <c r="C71" s="310"/>
      <c r="D71" s="311"/>
      <c r="E71" s="312">
        <f>SUM(E66:E70)</f>
        <v>65.478699999999989</v>
      </c>
      <c r="F71" s="294"/>
    </row>
    <row r="72" spans="1:6" s="293" customFormat="1" hidden="1" x14ac:dyDescent="0.2">
      <c r="A72" s="302" t="s">
        <v>3</v>
      </c>
      <c r="B72" s="303" t="s">
        <v>1</v>
      </c>
      <c r="C72" s="313">
        <f>'2.Encargos Sociais'!$C$34*100</f>
        <v>74.95</v>
      </c>
      <c r="D72" s="305">
        <f>E71</f>
        <v>65.478699999999989</v>
      </c>
      <c r="E72" s="305">
        <f>D72*C72/100</f>
        <v>49.076285649999988</v>
      </c>
      <c r="F72" s="294"/>
    </row>
    <row r="73" spans="1:6" s="293" customFormat="1" hidden="1" x14ac:dyDescent="0.2">
      <c r="A73" s="309" t="s">
        <v>68</v>
      </c>
      <c r="B73" s="310"/>
      <c r="C73" s="310"/>
      <c r="D73" s="311"/>
      <c r="E73" s="312">
        <f>E71+E72</f>
        <v>114.55498564999998</v>
      </c>
      <c r="F73" s="294"/>
    </row>
    <row r="74" spans="1:6" s="293" customFormat="1" ht="13.5" hidden="1" thickBot="1" x14ac:dyDescent="0.25">
      <c r="A74" s="302" t="s">
        <v>4</v>
      </c>
      <c r="B74" s="303" t="s">
        <v>5</v>
      </c>
      <c r="C74" s="314">
        <v>0</v>
      </c>
      <c r="D74" s="305">
        <f>E73</f>
        <v>114.55498564999998</v>
      </c>
      <c r="E74" s="305">
        <f>C74*D74</f>
        <v>0</v>
      </c>
      <c r="F74" s="294"/>
    </row>
    <row r="75" spans="1:6" s="293" customFormat="1" ht="13.5" hidden="1" thickBot="1" x14ac:dyDescent="0.25">
      <c r="D75" s="315" t="s">
        <v>189</v>
      </c>
      <c r="E75" s="316">
        <f>$B$50</f>
        <v>0.5</v>
      </c>
      <c r="F75" s="317">
        <f>E74*E75</f>
        <v>0</v>
      </c>
    </row>
    <row r="76" spans="1:6" ht="11.25" customHeight="1" x14ac:dyDescent="0.2"/>
    <row r="77" spans="1:6" ht="13.5" thickBot="1" x14ac:dyDescent="0.25">
      <c r="A77" s="9" t="s">
        <v>93</v>
      </c>
    </row>
    <row r="78" spans="1:6" s="12" customFormat="1" ht="13.15" customHeight="1" thickBot="1" x14ac:dyDescent="0.25">
      <c r="A78" s="57" t="s">
        <v>59</v>
      </c>
      <c r="B78" s="58" t="s">
        <v>60</v>
      </c>
      <c r="C78" s="58" t="s">
        <v>36</v>
      </c>
      <c r="D78" s="59" t="s">
        <v>228</v>
      </c>
      <c r="E78" s="59" t="s">
        <v>61</v>
      </c>
      <c r="F78" s="60" t="s">
        <v>62</v>
      </c>
    </row>
    <row r="79" spans="1:6" x14ac:dyDescent="0.2">
      <c r="A79" s="272" t="s">
        <v>212</v>
      </c>
      <c r="B79" s="14" t="s">
        <v>7</v>
      </c>
      <c r="C79" s="14">
        <v>1</v>
      </c>
      <c r="D79" s="82">
        <v>2156.6</v>
      </c>
      <c r="E79" s="15">
        <f>C79*D79</f>
        <v>2156.6</v>
      </c>
    </row>
    <row r="80" spans="1:6" x14ac:dyDescent="0.2">
      <c r="A80" s="272" t="s">
        <v>297</v>
      </c>
      <c r="B80" s="14" t="s">
        <v>7</v>
      </c>
      <c r="C80" s="14">
        <v>1</v>
      </c>
      <c r="D80" s="82">
        <v>1302</v>
      </c>
      <c r="E80" s="15"/>
    </row>
    <row r="81" spans="1:6" x14ac:dyDescent="0.2">
      <c r="A81" s="16" t="s">
        <v>213</v>
      </c>
      <c r="B81" s="17"/>
      <c r="C81" s="81">
        <v>1</v>
      </c>
      <c r="D81" s="18"/>
      <c r="E81" s="18"/>
    </row>
    <row r="82" spans="1:6" x14ac:dyDescent="0.2">
      <c r="A82" s="16" t="s">
        <v>0</v>
      </c>
      <c r="B82" s="17" t="s">
        <v>1</v>
      </c>
      <c r="C82" s="81">
        <v>20</v>
      </c>
      <c r="D82" s="79">
        <f>IF(C81=2,SUM(E79:E80),IF(C81=1,(SUM(E79:E80))*D80/D79,0))</f>
        <v>1302</v>
      </c>
      <c r="E82" s="18">
        <f>C82*D82/100</f>
        <v>260.39999999999998</v>
      </c>
    </row>
    <row r="83" spans="1:6" x14ac:dyDescent="0.2">
      <c r="A83" s="269" t="s">
        <v>258</v>
      </c>
      <c r="B83" s="270" t="s">
        <v>257</v>
      </c>
      <c r="C83" s="279"/>
      <c r="D83" s="79">
        <f>D79/220*2</f>
        <v>19.605454545454545</v>
      </c>
      <c r="E83" s="18">
        <f>C83*D83</f>
        <v>0</v>
      </c>
    </row>
    <row r="84" spans="1:6" s="11" customFormat="1" x14ac:dyDescent="0.2">
      <c r="A84" s="94" t="s">
        <v>2</v>
      </c>
      <c r="B84" s="107"/>
      <c r="C84" s="107"/>
      <c r="D84" s="108"/>
      <c r="E84" s="96">
        <f>SUM(E79:E83)</f>
        <v>2417</v>
      </c>
      <c r="F84" s="44"/>
    </row>
    <row r="85" spans="1:6" x14ac:dyDescent="0.2">
      <c r="A85" s="16" t="s">
        <v>3</v>
      </c>
      <c r="B85" s="17" t="s">
        <v>1</v>
      </c>
      <c r="C85" s="127">
        <f>'2.Encargos Sociais'!$C$34*100</f>
        <v>74.95</v>
      </c>
      <c r="D85" s="18">
        <f>E84</f>
        <v>2417</v>
      </c>
      <c r="E85" s="18">
        <f>D85*C85/100</f>
        <v>1811.5415</v>
      </c>
    </row>
    <row r="86" spans="1:6" s="11" customFormat="1" x14ac:dyDescent="0.2">
      <c r="A86" s="94" t="s">
        <v>242</v>
      </c>
      <c r="B86" s="249"/>
      <c r="C86" s="249"/>
      <c r="D86" s="250"/>
      <c r="E86" s="96">
        <f>E84+E85</f>
        <v>4228.5415000000003</v>
      </c>
      <c r="F86" s="44"/>
    </row>
    <row r="87" spans="1:6" ht="13.5" thickBot="1" x14ac:dyDescent="0.25">
      <c r="A87" s="16" t="s">
        <v>4</v>
      </c>
      <c r="B87" s="17" t="s">
        <v>5</v>
      </c>
      <c r="C87" s="81">
        <v>1</v>
      </c>
      <c r="D87" s="18">
        <f>E86</f>
        <v>4228.5415000000003</v>
      </c>
      <c r="E87" s="18">
        <f>C87*D87</f>
        <v>4228.5415000000003</v>
      </c>
    </row>
    <row r="88" spans="1:6" ht="13.5" thickBot="1" x14ac:dyDescent="0.25">
      <c r="A88" s="7" t="s">
        <v>295</v>
      </c>
      <c r="D88" s="112" t="s">
        <v>189</v>
      </c>
      <c r="E88" s="330">
        <v>0.65</v>
      </c>
      <c r="F88" s="113">
        <f>E87*E88</f>
        <v>2748.5519750000003</v>
      </c>
    </row>
    <row r="89" spans="1:6" x14ac:dyDescent="0.2">
      <c r="A89" s="7"/>
      <c r="D89" s="112"/>
      <c r="E89" s="56"/>
    </row>
    <row r="90" spans="1:6" s="293" customFormat="1" ht="13.15" hidden="1" customHeight="1" x14ac:dyDescent="0.2">
      <c r="D90" s="294"/>
      <c r="E90" s="294"/>
      <c r="F90" s="294"/>
    </row>
    <row r="91" spans="1:6" s="293" customFormat="1" ht="13.15" hidden="1" customHeight="1" thickBot="1" x14ac:dyDescent="0.25">
      <c r="A91" s="293" t="s">
        <v>263</v>
      </c>
      <c r="D91" s="294"/>
      <c r="E91" s="294"/>
      <c r="F91" s="294"/>
    </row>
    <row r="92" spans="1:6" s="293" customFormat="1" ht="13.15" hidden="1" customHeight="1" thickBot="1" x14ac:dyDescent="0.25">
      <c r="A92" s="295" t="s">
        <v>59</v>
      </c>
      <c r="B92" s="296" t="s">
        <v>60</v>
      </c>
      <c r="C92" s="296" t="s">
        <v>36</v>
      </c>
      <c r="D92" s="297" t="s">
        <v>228</v>
      </c>
      <c r="E92" s="297" t="s">
        <v>61</v>
      </c>
      <c r="F92" s="298" t="s">
        <v>296</v>
      </c>
    </row>
    <row r="93" spans="1:6" s="293" customFormat="1" ht="13.15" hidden="1" customHeight="1" x14ac:dyDescent="0.2">
      <c r="A93" s="299" t="s">
        <v>214</v>
      </c>
      <c r="B93" s="300" t="s">
        <v>7</v>
      </c>
      <c r="C93" s="300">
        <v>0</v>
      </c>
      <c r="D93" s="318">
        <f>D79</f>
        <v>2156.6</v>
      </c>
      <c r="E93" s="301">
        <f>C93*D93</f>
        <v>0</v>
      </c>
      <c r="F93" s="294"/>
    </row>
    <row r="94" spans="1:6" s="293" customFormat="1" ht="13.15" hidden="1" customHeight="1" x14ac:dyDescent="0.2">
      <c r="A94" s="299" t="s">
        <v>215</v>
      </c>
      <c r="B94" s="300" t="s">
        <v>7</v>
      </c>
      <c r="C94" s="300">
        <v>0</v>
      </c>
      <c r="D94" s="318">
        <v>998</v>
      </c>
      <c r="E94" s="301"/>
      <c r="F94" s="294"/>
    </row>
    <row r="95" spans="1:6" s="293" customFormat="1" ht="13.15" hidden="1" customHeight="1" x14ac:dyDescent="0.2">
      <c r="A95" s="302" t="s">
        <v>213</v>
      </c>
      <c r="B95" s="303"/>
      <c r="C95" s="314">
        <v>1</v>
      </c>
      <c r="D95" s="305"/>
      <c r="E95" s="305"/>
      <c r="F95" s="294"/>
    </row>
    <row r="96" spans="1:6" s="293" customFormat="1" ht="13.15" hidden="1" customHeight="1" x14ac:dyDescent="0.2">
      <c r="A96" s="302" t="s">
        <v>0</v>
      </c>
      <c r="B96" s="303" t="s">
        <v>1</v>
      </c>
      <c r="C96" s="314">
        <v>20</v>
      </c>
      <c r="D96" s="307">
        <f>IF(C95=2,SUM(E93:E94),IF(C95=1,(SUM(E93:E94))*D94/D93,0))</f>
        <v>0</v>
      </c>
      <c r="E96" s="305">
        <f>C96*D96/100</f>
        <v>0</v>
      </c>
      <c r="F96" s="294"/>
    </row>
    <row r="97" spans="1:8" s="293" customFormat="1" ht="13.15" hidden="1" customHeight="1" x14ac:dyDescent="0.2">
      <c r="A97" s="302" t="s">
        <v>6</v>
      </c>
      <c r="B97" s="303" t="s">
        <v>91</v>
      </c>
      <c r="C97" s="304">
        <f>2*26</f>
        <v>52</v>
      </c>
      <c r="D97" s="305"/>
      <c r="E97" s="305"/>
      <c r="F97" s="294"/>
    </row>
    <row r="98" spans="1:8" s="293" customFormat="1" ht="13.15" hidden="1" customHeight="1" x14ac:dyDescent="0.2">
      <c r="A98" s="302"/>
      <c r="B98" s="303" t="s">
        <v>94</v>
      </c>
      <c r="C98" s="306">
        <f>C97*8/7</f>
        <v>59.428571428571431</v>
      </c>
      <c r="D98" s="305">
        <f>D93/220*0.2</f>
        <v>1.9605454545454546</v>
      </c>
      <c r="E98" s="305">
        <f>C97*D98</f>
        <v>101.94836363636364</v>
      </c>
      <c r="F98" s="294"/>
    </row>
    <row r="99" spans="1:8" s="293" customFormat="1" ht="13.15" hidden="1" customHeight="1" x14ac:dyDescent="0.2">
      <c r="A99" s="302" t="s">
        <v>258</v>
      </c>
      <c r="B99" s="303" t="s">
        <v>257</v>
      </c>
      <c r="C99" s="319"/>
      <c r="D99" s="307">
        <f>D93/220*2</f>
        <v>19.605454545454545</v>
      </c>
      <c r="E99" s="305">
        <f>C99*D99</f>
        <v>0</v>
      </c>
      <c r="F99" s="294"/>
    </row>
    <row r="100" spans="1:8" s="293" customFormat="1" ht="13.15" hidden="1" customHeight="1" x14ac:dyDescent="0.2">
      <c r="A100" s="320" t="s">
        <v>2</v>
      </c>
      <c r="B100" s="310"/>
      <c r="C100" s="310"/>
      <c r="D100" s="311"/>
      <c r="E100" s="321">
        <f>SUM(E93:E99)</f>
        <v>101.94836363636364</v>
      </c>
      <c r="F100" s="322"/>
    </row>
    <row r="101" spans="1:8" s="293" customFormat="1" ht="13.15" hidden="1" customHeight="1" x14ac:dyDescent="0.2">
      <c r="A101" s="302" t="s">
        <v>3</v>
      </c>
      <c r="B101" s="303" t="s">
        <v>1</v>
      </c>
      <c r="C101" s="313">
        <f>'2.Encargos Sociais'!$C$34*100</f>
        <v>74.95</v>
      </c>
      <c r="D101" s="305">
        <f>E100</f>
        <v>101.94836363636364</v>
      </c>
      <c r="E101" s="305">
        <f>D101*C101/100</f>
        <v>76.410298545454552</v>
      </c>
      <c r="F101" s="294"/>
    </row>
    <row r="102" spans="1:8" s="293" customFormat="1" ht="13.15" hidden="1" customHeight="1" x14ac:dyDescent="0.2">
      <c r="A102" s="320" t="s">
        <v>242</v>
      </c>
      <c r="B102" s="323"/>
      <c r="C102" s="323"/>
      <c r="D102" s="324"/>
      <c r="E102" s="321">
        <f>E100+E101</f>
        <v>178.3586621818182</v>
      </c>
      <c r="F102" s="322"/>
    </row>
    <row r="103" spans="1:8" s="293" customFormat="1" ht="13.15" hidden="1" customHeight="1" thickBot="1" x14ac:dyDescent="0.25">
      <c r="A103" s="302" t="s">
        <v>4</v>
      </c>
      <c r="B103" s="303" t="s">
        <v>5</v>
      </c>
      <c r="C103" s="314">
        <v>0</v>
      </c>
      <c r="D103" s="305">
        <f>E102</f>
        <v>178.3586621818182</v>
      </c>
      <c r="E103" s="305">
        <f>C103*D103</f>
        <v>0</v>
      </c>
      <c r="F103" s="294"/>
    </row>
    <row r="104" spans="1:8" s="293" customFormat="1" ht="13.15" hidden="1" customHeight="1" thickBot="1" x14ac:dyDescent="0.25">
      <c r="A104" s="293" t="s">
        <v>265</v>
      </c>
      <c r="D104" s="315" t="s">
        <v>189</v>
      </c>
      <c r="E104" s="316">
        <f>195/220</f>
        <v>0.88636363636363635</v>
      </c>
      <c r="F104" s="317">
        <f>E103*E104</f>
        <v>0</v>
      </c>
    </row>
    <row r="105" spans="1:8" s="293" customFormat="1" ht="13.15" hidden="1" customHeight="1" x14ac:dyDescent="0.2">
      <c r="A105" s="293" t="s">
        <v>266</v>
      </c>
      <c r="D105" s="315"/>
      <c r="E105" s="325"/>
      <c r="F105" s="294"/>
    </row>
    <row r="106" spans="1:8" ht="13.15" customHeight="1" x14ac:dyDescent="0.2"/>
    <row r="107" spans="1:8" ht="13.5" thickBot="1" x14ac:dyDescent="0.25">
      <c r="A107" s="7" t="s">
        <v>264</v>
      </c>
    </row>
    <row r="108" spans="1:8" ht="13.5" thickBot="1" x14ac:dyDescent="0.25">
      <c r="A108" s="57" t="s">
        <v>59</v>
      </c>
      <c r="B108" s="58" t="s">
        <v>60</v>
      </c>
      <c r="C108" s="58" t="s">
        <v>36</v>
      </c>
      <c r="D108" s="59" t="s">
        <v>228</v>
      </c>
      <c r="E108" s="59" t="s">
        <v>61</v>
      </c>
      <c r="F108" s="60" t="s">
        <v>62</v>
      </c>
    </row>
    <row r="109" spans="1:8" x14ac:dyDescent="0.2">
      <c r="A109" s="13" t="s">
        <v>212</v>
      </c>
      <c r="B109" s="14" t="s">
        <v>7</v>
      </c>
      <c r="C109" s="14">
        <v>1</v>
      </c>
      <c r="D109" s="15">
        <v>2800</v>
      </c>
      <c r="E109" s="15">
        <f>C109*D109</f>
        <v>2800</v>
      </c>
      <c r="H109" s="7"/>
    </row>
    <row r="110" spans="1:8" s="11" customFormat="1" x14ac:dyDescent="0.2">
      <c r="A110" s="106" t="s">
        <v>2</v>
      </c>
      <c r="B110" s="107"/>
      <c r="C110" s="107"/>
      <c r="D110" s="108"/>
      <c r="E110" s="109">
        <f>SUM(E109:E109)</f>
        <v>2800</v>
      </c>
      <c r="F110" s="44"/>
    </row>
    <row r="111" spans="1:8" x14ac:dyDescent="0.2">
      <c r="A111" s="16" t="s">
        <v>3</v>
      </c>
      <c r="B111" s="17" t="s">
        <v>1</v>
      </c>
      <c r="C111" s="127">
        <f>'2.Encargos Sociais'!$C$34*100</f>
        <v>74.95</v>
      </c>
      <c r="D111" s="18">
        <f>E110</f>
        <v>2800</v>
      </c>
      <c r="E111" s="18">
        <f>D111*C111/100</f>
        <v>2098.6</v>
      </c>
    </row>
    <row r="112" spans="1:8" s="11" customFormat="1" x14ac:dyDescent="0.2">
      <c r="A112" s="106" t="s">
        <v>256</v>
      </c>
      <c r="B112" s="107"/>
      <c r="C112" s="107"/>
      <c r="D112" s="108"/>
      <c r="E112" s="109">
        <f>E110+E111</f>
        <v>4898.6000000000004</v>
      </c>
      <c r="F112" s="44"/>
    </row>
    <row r="113" spans="1:6" ht="13.5" thickBot="1" x14ac:dyDescent="0.25">
      <c r="A113" s="16" t="s">
        <v>4</v>
      </c>
      <c r="B113" s="17" t="s">
        <v>5</v>
      </c>
      <c r="C113" s="81">
        <v>1</v>
      </c>
      <c r="D113" s="18">
        <f>E112</f>
        <v>4898.6000000000004</v>
      </c>
      <c r="E113" s="18">
        <f>C113*D113</f>
        <v>4898.6000000000004</v>
      </c>
    </row>
    <row r="114" spans="1:6" ht="13.5" thickBot="1" x14ac:dyDescent="0.25">
      <c r="A114" s="7" t="s">
        <v>267</v>
      </c>
      <c r="D114" s="112" t="s">
        <v>189</v>
      </c>
      <c r="E114" s="329">
        <f>30/220</f>
        <v>0.13636363636363635</v>
      </c>
      <c r="F114" s="113">
        <f>E113*E114</f>
        <v>667.9909090909091</v>
      </c>
    </row>
    <row r="115" spans="1:6" x14ac:dyDescent="0.2">
      <c r="A115" s="7" t="s">
        <v>284</v>
      </c>
      <c r="D115" s="112"/>
      <c r="E115" s="56"/>
    </row>
    <row r="116" spans="1:6" ht="13.9" customHeight="1" x14ac:dyDescent="0.2"/>
    <row r="117" spans="1:6" ht="13.9" customHeight="1" thickBot="1" x14ac:dyDescent="0.25">
      <c r="A117" s="7" t="s">
        <v>268</v>
      </c>
    </row>
    <row r="118" spans="1:6" ht="13.9" customHeight="1" thickBot="1" x14ac:dyDescent="0.25">
      <c r="A118" s="57" t="s">
        <v>59</v>
      </c>
      <c r="B118" s="58" t="s">
        <v>60</v>
      </c>
      <c r="C118" s="58" t="s">
        <v>36</v>
      </c>
      <c r="D118" s="59" t="s">
        <v>228</v>
      </c>
      <c r="E118" s="59" t="s">
        <v>61</v>
      </c>
      <c r="F118" s="60" t="s">
        <v>62</v>
      </c>
    </row>
    <row r="119" spans="1:6" ht="13.9" customHeight="1" x14ac:dyDescent="0.2">
      <c r="A119" s="13" t="s">
        <v>212</v>
      </c>
      <c r="B119" s="14" t="s">
        <v>7</v>
      </c>
      <c r="C119" s="14">
        <v>1</v>
      </c>
      <c r="D119" s="15">
        <v>2300.9899999999998</v>
      </c>
      <c r="E119" s="15">
        <f>C119*D119</f>
        <v>2300.9899999999998</v>
      </c>
    </row>
    <row r="120" spans="1:6" ht="13.9" customHeight="1" x14ac:dyDescent="0.2">
      <c r="A120" s="106" t="s">
        <v>2</v>
      </c>
      <c r="B120" s="107"/>
      <c r="C120" s="107"/>
      <c r="D120" s="108"/>
      <c r="E120" s="109">
        <f>SUM(E119:E119)</f>
        <v>2300.9899999999998</v>
      </c>
      <c r="F120" s="44"/>
    </row>
    <row r="121" spans="1:6" ht="13.9" customHeight="1" x14ac:dyDescent="0.2">
      <c r="A121" s="16" t="s">
        <v>3</v>
      </c>
      <c r="B121" s="17" t="s">
        <v>1</v>
      </c>
      <c r="C121" s="127">
        <f>'2.Encargos Sociais'!$C$34*100</f>
        <v>74.95</v>
      </c>
      <c r="D121" s="18">
        <f>E120</f>
        <v>2300.9899999999998</v>
      </c>
      <c r="E121" s="18">
        <f>D121*C121/100</f>
        <v>1724.5920049999997</v>
      </c>
    </row>
    <row r="122" spans="1:6" ht="13.9" customHeight="1" x14ac:dyDescent="0.2">
      <c r="A122" s="106" t="s">
        <v>256</v>
      </c>
      <c r="B122" s="107"/>
      <c r="C122" s="107"/>
      <c r="D122" s="108"/>
      <c r="E122" s="109">
        <f>E120+E121</f>
        <v>4025.5820049999993</v>
      </c>
      <c r="F122" s="44"/>
    </row>
    <row r="123" spans="1:6" ht="13.9" customHeight="1" thickBot="1" x14ac:dyDescent="0.25">
      <c r="A123" s="16" t="s">
        <v>4</v>
      </c>
      <c r="B123" s="17" t="s">
        <v>5</v>
      </c>
      <c r="C123" s="81">
        <v>1</v>
      </c>
      <c r="D123" s="18">
        <f>E122</f>
        <v>4025.5820049999993</v>
      </c>
      <c r="E123" s="18">
        <f>C123*D123</f>
        <v>4025.5820049999993</v>
      </c>
    </row>
    <row r="124" spans="1:6" ht="13.9" customHeight="1" thickBot="1" x14ac:dyDescent="0.25">
      <c r="A124" s="7" t="s">
        <v>269</v>
      </c>
      <c r="D124" s="112" t="s">
        <v>189</v>
      </c>
      <c r="E124" s="289">
        <v>0.13636363636363635</v>
      </c>
      <c r="F124" s="113">
        <f>E123*E124</f>
        <v>548.94300068181803</v>
      </c>
    </row>
    <row r="125" spans="1:6" ht="13.9" customHeight="1" x14ac:dyDescent="0.2">
      <c r="A125" s="7" t="s">
        <v>284</v>
      </c>
      <c r="D125" s="112"/>
      <c r="E125" s="56"/>
    </row>
    <row r="126" spans="1:6" ht="13.9" hidden="1" customHeight="1" x14ac:dyDescent="0.2">
      <c r="A126" s="7"/>
      <c r="D126" s="112"/>
      <c r="E126" s="56"/>
    </row>
    <row r="127" spans="1:6" ht="13.9" hidden="1" customHeight="1" x14ac:dyDescent="0.2">
      <c r="A127" s="7"/>
      <c r="D127" s="112"/>
      <c r="E127" s="56"/>
    </row>
    <row r="128" spans="1:6" ht="13.9" hidden="1" customHeight="1" x14ac:dyDescent="0.2">
      <c r="A128" s="7"/>
      <c r="D128" s="112"/>
      <c r="E128" s="56"/>
    </row>
    <row r="129" spans="1:8" ht="13.9" customHeight="1" x14ac:dyDescent="0.2">
      <c r="A129" s="7"/>
      <c r="D129" s="112"/>
      <c r="E129" s="56"/>
    </row>
    <row r="130" spans="1:8" ht="13.5" thickBot="1" x14ac:dyDescent="0.25">
      <c r="A130" s="7" t="s">
        <v>270</v>
      </c>
      <c r="B130" s="86"/>
      <c r="D130" s="9"/>
      <c r="E130" s="9"/>
    </row>
    <row r="131" spans="1:8" ht="13.5" thickBot="1" x14ac:dyDescent="0.25">
      <c r="A131" s="57" t="s">
        <v>59</v>
      </c>
      <c r="B131" s="58" t="s">
        <v>60</v>
      </c>
      <c r="C131" s="58" t="s">
        <v>36</v>
      </c>
      <c r="D131" s="59" t="s">
        <v>228</v>
      </c>
      <c r="E131" s="59" t="s">
        <v>61</v>
      </c>
      <c r="F131" s="60" t="s">
        <v>62</v>
      </c>
    </row>
    <row r="132" spans="1:8" x14ac:dyDescent="0.2">
      <c r="A132" s="16" t="s">
        <v>85</v>
      </c>
      <c r="B132" s="17" t="s">
        <v>32</v>
      </c>
      <c r="C132" s="87">
        <v>1</v>
      </c>
      <c r="D132" s="85">
        <v>4.5</v>
      </c>
      <c r="E132" s="18"/>
    </row>
    <row r="133" spans="1:8" x14ac:dyDescent="0.2">
      <c r="A133" s="16" t="s">
        <v>86</v>
      </c>
      <c r="B133" s="17" t="s">
        <v>87</v>
      </c>
      <c r="C133" s="84">
        <v>8.66</v>
      </c>
      <c r="D133" s="18"/>
      <c r="E133" s="18"/>
    </row>
    <row r="134" spans="1:8" x14ac:dyDescent="0.2">
      <c r="A134" s="16" t="s">
        <v>69</v>
      </c>
      <c r="B134" s="17" t="s">
        <v>8</v>
      </c>
      <c r="C134" s="37">
        <f>C133*C61*2</f>
        <v>34.64</v>
      </c>
      <c r="D134" s="15">
        <f>(D132*52-((E58*E62)*0.06))/52</f>
        <v>3.3127488461538466</v>
      </c>
      <c r="E134" s="18">
        <f>IFERROR(C134*D134,"-")</f>
        <v>114.75362003076924</v>
      </c>
    </row>
    <row r="135" spans="1:8" ht="13.5" thickBot="1" x14ac:dyDescent="0.25">
      <c r="A135" s="13" t="s">
        <v>40</v>
      </c>
      <c r="B135" s="14" t="s">
        <v>8</v>
      </c>
      <c r="C135" s="37">
        <f>C133*C87*2</f>
        <v>17.32</v>
      </c>
      <c r="D135" s="15">
        <f>(D132*52-((E84*E88)*0.06))/52</f>
        <v>2.6872500000000006</v>
      </c>
      <c r="E135" s="15">
        <f>IFERROR(C135*D135,"-")</f>
        <v>46.543170000000011</v>
      </c>
    </row>
    <row r="136" spans="1:8" ht="13.5" thickBot="1" x14ac:dyDescent="0.25">
      <c r="A136" s="7" t="s">
        <v>272</v>
      </c>
      <c r="F136" s="22">
        <f>SUM(E134:E135)</f>
        <v>161.29679003076924</v>
      </c>
    </row>
    <row r="137" spans="1:8" ht="11.25" customHeight="1" x14ac:dyDescent="0.2"/>
    <row r="138" spans="1:8" ht="13.5" thickBot="1" x14ac:dyDescent="0.25">
      <c r="A138" s="7" t="s">
        <v>273</v>
      </c>
      <c r="F138" s="23"/>
    </row>
    <row r="139" spans="1:8" ht="13.5" thickBot="1" x14ac:dyDescent="0.25">
      <c r="A139" s="57" t="s">
        <v>59</v>
      </c>
      <c r="B139" s="58" t="s">
        <v>60</v>
      </c>
      <c r="C139" s="58" t="s">
        <v>36</v>
      </c>
      <c r="D139" s="59" t="s">
        <v>228</v>
      </c>
      <c r="E139" s="59" t="s">
        <v>61</v>
      </c>
      <c r="F139" s="60" t="s">
        <v>62</v>
      </c>
    </row>
    <row r="140" spans="1:8" x14ac:dyDescent="0.2">
      <c r="A140" s="16" t="str">
        <f>+A134</f>
        <v>Coletor</v>
      </c>
      <c r="B140" s="17" t="s">
        <v>9</v>
      </c>
      <c r="C140" s="93">
        <f>2*C133</f>
        <v>17.32</v>
      </c>
      <c r="D140" s="275">
        <v>14.73</v>
      </c>
      <c r="E140" s="50">
        <f>C140*D140</f>
        <v>255.12360000000001</v>
      </c>
      <c r="F140" s="23"/>
      <c r="H140" s="80"/>
    </row>
    <row r="141" spans="1:8" ht="13.5" thickBot="1" x14ac:dyDescent="0.25">
      <c r="A141" s="16" t="str">
        <f>A135</f>
        <v>Motorista</v>
      </c>
      <c r="B141" s="17" t="s">
        <v>9</v>
      </c>
      <c r="C141" s="326">
        <f>1*C133</f>
        <v>8.66</v>
      </c>
      <c r="D141" s="275">
        <v>14.73</v>
      </c>
      <c r="E141" s="50">
        <f>C141*D141</f>
        <v>127.56180000000001</v>
      </c>
      <c r="F141" s="23"/>
      <c r="H141" s="80"/>
    </row>
    <row r="142" spans="1:8" ht="13.5" thickBot="1" x14ac:dyDescent="0.25">
      <c r="A142" s="7"/>
      <c r="F142" s="22">
        <f>SUM(E140:E141)</f>
        <v>382.68540000000002</v>
      </c>
    </row>
    <row r="143" spans="1:8" x14ac:dyDescent="0.2">
      <c r="A143" s="7"/>
    </row>
    <row r="144" spans="1:8" hidden="1" x14ac:dyDescent="0.2">
      <c r="A144" s="7"/>
    </row>
    <row r="145" spans="1:6" ht="13.5" hidden="1" thickBot="1" x14ac:dyDescent="0.25">
      <c r="A145" s="7" t="s">
        <v>274</v>
      </c>
      <c r="F145" s="23"/>
    </row>
    <row r="146" spans="1:6" ht="13.5" hidden="1" thickBot="1" x14ac:dyDescent="0.25">
      <c r="A146" s="57" t="s">
        <v>59</v>
      </c>
      <c r="B146" s="58" t="s">
        <v>60</v>
      </c>
      <c r="C146" s="58" t="s">
        <v>36</v>
      </c>
      <c r="D146" s="59" t="s">
        <v>228</v>
      </c>
      <c r="E146" s="59" t="s">
        <v>61</v>
      </c>
      <c r="F146" s="60" t="s">
        <v>62</v>
      </c>
    </row>
    <row r="147" spans="1:6" hidden="1" x14ac:dyDescent="0.2">
      <c r="A147" s="16" t="str">
        <f>+A140</f>
        <v>Coletor</v>
      </c>
      <c r="B147" s="17" t="s">
        <v>9</v>
      </c>
      <c r="C147" s="93">
        <f>E39+E40</f>
        <v>2</v>
      </c>
      <c r="D147" s="88"/>
      <c r="E147" s="50">
        <f>C147*D147</f>
        <v>0</v>
      </c>
      <c r="F147" s="23"/>
    </row>
    <row r="148" spans="1:6" ht="13.5" hidden="1" thickBot="1" x14ac:dyDescent="0.25">
      <c r="A148" s="16" t="s">
        <v>271</v>
      </c>
      <c r="B148" s="17" t="s">
        <v>9</v>
      </c>
      <c r="C148" s="93">
        <v>0</v>
      </c>
      <c r="D148" s="275" t="e">
        <f>#REF!</f>
        <v>#REF!</v>
      </c>
      <c r="E148" s="50" t="e">
        <f>C148*D148</f>
        <v>#REF!</v>
      </c>
      <c r="F148" s="23"/>
    </row>
    <row r="149" spans="1:6" ht="13.5" hidden="1" thickBot="1" x14ac:dyDescent="0.25">
      <c r="D149" s="112" t="s">
        <v>189</v>
      </c>
      <c r="E149" s="50">
        <f>E88</f>
        <v>0.65</v>
      </c>
      <c r="F149" s="22" t="e">
        <f>SUM(E147:E148)*E149</f>
        <v>#REF!</v>
      </c>
    </row>
    <row r="150" spans="1:6" ht="13.5" thickBot="1" x14ac:dyDescent="0.25"/>
    <row r="151" spans="1:6" ht="13.5" thickBot="1" x14ac:dyDescent="0.25">
      <c r="A151" s="24" t="s">
        <v>88</v>
      </c>
      <c r="B151" s="25"/>
      <c r="C151" s="25"/>
      <c r="D151" s="26"/>
      <c r="E151" s="27"/>
      <c r="F151" s="22">
        <f>F142+F136+F124+F114+F88+F62</f>
        <v>8109.7676238034974</v>
      </c>
    </row>
    <row r="153" spans="1:6" x14ac:dyDescent="0.2">
      <c r="A153" s="11" t="s">
        <v>41</v>
      </c>
    </row>
    <row r="154" spans="1:6" ht="11.25" customHeight="1" x14ac:dyDescent="0.2"/>
    <row r="155" spans="1:6" ht="13.9" customHeight="1" x14ac:dyDescent="0.2">
      <c r="A155" s="11" t="s">
        <v>191</v>
      </c>
    </row>
    <row r="156" spans="1:6" ht="11.25" customHeight="1" thickBot="1" x14ac:dyDescent="0.25"/>
    <row r="157" spans="1:6" ht="27.75" customHeight="1" thickBot="1" x14ac:dyDescent="0.25">
      <c r="A157" s="57" t="s">
        <v>59</v>
      </c>
      <c r="B157" s="58" t="s">
        <v>60</v>
      </c>
      <c r="C157" s="251" t="s">
        <v>244</v>
      </c>
      <c r="D157" s="59" t="s">
        <v>228</v>
      </c>
      <c r="E157" s="59" t="s">
        <v>61</v>
      </c>
      <c r="F157" s="60" t="s">
        <v>62</v>
      </c>
    </row>
    <row r="158" spans="1:6" ht="13.15" customHeight="1" x14ac:dyDescent="0.2">
      <c r="A158" s="272" t="s">
        <v>63</v>
      </c>
      <c r="B158" s="273" t="s">
        <v>9</v>
      </c>
      <c r="C158" s="282">
        <v>6</v>
      </c>
      <c r="D158" s="274">
        <v>118</v>
      </c>
      <c r="E158" s="15">
        <f t="shared" ref="E158:E168" si="1">IFERROR(D158/C158,0)</f>
        <v>19.666666666666668</v>
      </c>
    </row>
    <row r="159" spans="1:6" ht="13.15" customHeight="1" x14ac:dyDescent="0.2">
      <c r="A159" s="16" t="s">
        <v>27</v>
      </c>
      <c r="B159" s="17" t="s">
        <v>9</v>
      </c>
      <c r="C159" s="282">
        <v>2</v>
      </c>
      <c r="D159" s="280">
        <v>46.7</v>
      </c>
      <c r="E159" s="15">
        <f t="shared" ref="E159" si="2">IFERROR(D159/C159,0)</f>
        <v>23.35</v>
      </c>
    </row>
    <row r="160" spans="1:6" x14ac:dyDescent="0.2">
      <c r="A160" s="16" t="s">
        <v>28</v>
      </c>
      <c r="B160" s="17" t="s">
        <v>9</v>
      </c>
      <c r="C160" s="282">
        <v>2</v>
      </c>
      <c r="D160" s="280">
        <v>35</v>
      </c>
      <c r="E160" s="15">
        <f t="shared" si="1"/>
        <v>17.5</v>
      </c>
    </row>
    <row r="161" spans="1:6" x14ac:dyDescent="0.2">
      <c r="A161" s="269" t="s">
        <v>254</v>
      </c>
      <c r="B161" s="17" t="s">
        <v>9</v>
      </c>
      <c r="C161" s="281">
        <v>4</v>
      </c>
      <c r="D161" s="82">
        <v>28</v>
      </c>
      <c r="E161" s="15">
        <f t="shared" ref="E161" si="3">IFERROR(D161/C161,0)</f>
        <v>7</v>
      </c>
    </row>
    <row r="162" spans="1:6" ht="13.15" customHeight="1" x14ac:dyDescent="0.2">
      <c r="A162" s="16" t="s">
        <v>29</v>
      </c>
      <c r="B162" s="17" t="s">
        <v>9</v>
      </c>
      <c r="C162" s="281">
        <v>4</v>
      </c>
      <c r="D162" s="280">
        <v>13</v>
      </c>
      <c r="E162" s="15">
        <f t="shared" si="1"/>
        <v>3.25</v>
      </c>
    </row>
    <row r="163" spans="1:6" ht="13.9" customHeight="1" x14ac:dyDescent="0.2">
      <c r="A163" s="269" t="s">
        <v>261</v>
      </c>
      <c r="B163" s="17" t="s">
        <v>44</v>
      </c>
      <c r="C163" s="281">
        <v>3</v>
      </c>
      <c r="D163" s="280">
        <v>36.9</v>
      </c>
      <c r="E163" s="15">
        <f t="shared" si="1"/>
        <v>12.299999999999999</v>
      </c>
    </row>
    <row r="164" spans="1:6" ht="13.15" customHeight="1" x14ac:dyDescent="0.2">
      <c r="A164" s="16" t="s">
        <v>89</v>
      </c>
      <c r="B164" s="17" t="s">
        <v>44</v>
      </c>
      <c r="C164" s="281">
        <v>2</v>
      </c>
      <c r="D164" s="280">
        <v>18</v>
      </c>
      <c r="E164" s="15">
        <f t="shared" si="1"/>
        <v>9</v>
      </c>
    </row>
    <row r="165" spans="1:6" x14ac:dyDescent="0.2">
      <c r="A165" s="16" t="s">
        <v>64</v>
      </c>
      <c r="B165" s="17" t="s">
        <v>9</v>
      </c>
      <c r="C165" s="281">
        <v>6</v>
      </c>
      <c r="D165" s="280">
        <v>23.6</v>
      </c>
      <c r="E165" s="15">
        <f t="shared" si="1"/>
        <v>3.9333333333333336</v>
      </c>
    </row>
    <row r="166" spans="1:6" s="1" customFormat="1" x14ac:dyDescent="0.2">
      <c r="A166" s="2" t="s">
        <v>10</v>
      </c>
      <c r="B166" s="3" t="s">
        <v>9</v>
      </c>
      <c r="C166" s="281">
        <v>4</v>
      </c>
      <c r="D166" s="280">
        <v>21</v>
      </c>
      <c r="E166" s="15">
        <f t="shared" si="1"/>
        <v>5.25</v>
      </c>
      <c r="F166" s="38"/>
    </row>
    <row r="167" spans="1:6" x14ac:dyDescent="0.2">
      <c r="A167" s="16" t="s">
        <v>30</v>
      </c>
      <c r="B167" s="17" t="s">
        <v>44</v>
      </c>
      <c r="C167" s="281">
        <v>1</v>
      </c>
      <c r="D167" s="280">
        <v>31.49</v>
      </c>
      <c r="E167" s="15">
        <f t="shared" si="1"/>
        <v>31.49</v>
      </c>
    </row>
    <row r="168" spans="1:6" ht="13.15" customHeight="1" x14ac:dyDescent="0.2">
      <c r="A168" s="16" t="s">
        <v>58</v>
      </c>
      <c r="B168" s="17" t="s">
        <v>45</v>
      </c>
      <c r="C168" s="281">
        <v>2</v>
      </c>
      <c r="D168" s="280">
        <v>24</v>
      </c>
      <c r="E168" s="15">
        <f t="shared" si="1"/>
        <v>12</v>
      </c>
    </row>
    <row r="169" spans="1:6" x14ac:dyDescent="0.2">
      <c r="A169" s="16" t="s">
        <v>192</v>
      </c>
      <c r="B169" s="17" t="s">
        <v>114</v>
      </c>
      <c r="C169" s="281">
        <v>1</v>
      </c>
      <c r="D169" s="280">
        <v>60</v>
      </c>
      <c r="E169" s="18">
        <f t="shared" ref="E169:E170" si="4">C169*D169</f>
        <v>60</v>
      </c>
    </row>
    <row r="170" spans="1:6" ht="13.5" thickBot="1" x14ac:dyDescent="0.25">
      <c r="A170" s="16" t="s">
        <v>4</v>
      </c>
      <c r="B170" s="17" t="s">
        <v>5</v>
      </c>
      <c r="C170" s="66">
        <f>E39+E40</f>
        <v>2</v>
      </c>
      <c r="D170" s="18">
        <f>+SUM(E158:E169)</f>
        <v>204.74</v>
      </c>
      <c r="E170" s="18">
        <f t="shared" si="4"/>
        <v>409.48</v>
      </c>
    </row>
    <row r="171" spans="1:6" ht="13.5" thickBot="1" x14ac:dyDescent="0.25">
      <c r="D171" s="112" t="s">
        <v>189</v>
      </c>
      <c r="E171" s="50">
        <f>$B$50</f>
        <v>0.5</v>
      </c>
      <c r="F171" s="113">
        <f>E170*E171</f>
        <v>204.74</v>
      </c>
    </row>
    <row r="172" spans="1:6" ht="11.25" customHeight="1" x14ac:dyDescent="0.2"/>
    <row r="173" spans="1:6" ht="13.9" customHeight="1" x14ac:dyDescent="0.2">
      <c r="A173" s="9" t="s">
        <v>193</v>
      </c>
    </row>
    <row r="174" spans="1:6" ht="11.25" customHeight="1" thickBot="1" x14ac:dyDescent="0.25"/>
    <row r="175" spans="1:6" ht="24.75" thickBot="1" x14ac:dyDescent="0.25">
      <c r="A175" s="57" t="s">
        <v>59</v>
      </c>
      <c r="B175" s="58" t="s">
        <v>60</v>
      </c>
      <c r="C175" s="251" t="s">
        <v>244</v>
      </c>
      <c r="D175" s="59" t="s">
        <v>228</v>
      </c>
      <c r="E175" s="59" t="s">
        <v>61</v>
      </c>
      <c r="F175" s="60" t="s">
        <v>62</v>
      </c>
    </row>
    <row r="176" spans="1:6" x14ac:dyDescent="0.2">
      <c r="A176" s="272" t="s">
        <v>63</v>
      </c>
      <c r="B176" s="273" t="s">
        <v>9</v>
      </c>
      <c r="C176" s="282">
        <v>6</v>
      </c>
      <c r="D176" s="274">
        <f>D158</f>
        <v>118</v>
      </c>
      <c r="E176" s="15">
        <f t="shared" ref="E176:E181" si="5">IFERROR(D176/C176,0)</f>
        <v>19.666666666666668</v>
      </c>
    </row>
    <row r="177" spans="1:6" x14ac:dyDescent="0.2">
      <c r="A177" s="16" t="s">
        <v>27</v>
      </c>
      <c r="B177" s="17" t="s">
        <v>9</v>
      </c>
      <c r="C177" s="281">
        <v>2</v>
      </c>
      <c r="D177" s="82">
        <f>D159</f>
        <v>46.7</v>
      </c>
      <c r="E177" s="15">
        <f t="shared" si="5"/>
        <v>23.35</v>
      </c>
    </row>
    <row r="178" spans="1:6" x14ac:dyDescent="0.2">
      <c r="A178" s="16" t="s">
        <v>28</v>
      </c>
      <c r="B178" s="17" t="s">
        <v>9</v>
      </c>
      <c r="C178" s="281">
        <v>1</v>
      </c>
      <c r="D178" s="82">
        <f>D160</f>
        <v>35</v>
      </c>
      <c r="E178" s="15">
        <f t="shared" si="5"/>
        <v>35</v>
      </c>
    </row>
    <row r="179" spans="1:6" x14ac:dyDescent="0.2">
      <c r="A179" s="269" t="s">
        <v>262</v>
      </c>
      <c r="B179" s="17" t="s">
        <v>44</v>
      </c>
      <c r="C179" s="281">
        <v>3</v>
      </c>
      <c r="D179" s="82">
        <f>D163</f>
        <v>36.9</v>
      </c>
      <c r="E179" s="15">
        <f t="shared" si="5"/>
        <v>12.299999999999999</v>
      </c>
    </row>
    <row r="180" spans="1:6" x14ac:dyDescent="0.2">
      <c r="A180" s="16" t="s">
        <v>64</v>
      </c>
      <c r="B180" s="17" t="s">
        <v>9</v>
      </c>
      <c r="C180" s="281">
        <v>6</v>
      </c>
      <c r="D180" s="82">
        <f>D165</f>
        <v>23.6</v>
      </c>
      <c r="E180" s="15">
        <f t="shared" si="5"/>
        <v>3.9333333333333336</v>
      </c>
    </row>
    <row r="181" spans="1:6" x14ac:dyDescent="0.2">
      <c r="A181" s="16" t="s">
        <v>58</v>
      </c>
      <c r="B181" s="17" t="s">
        <v>45</v>
      </c>
      <c r="C181" s="281">
        <v>3</v>
      </c>
      <c r="D181" s="82">
        <v>24</v>
      </c>
      <c r="E181" s="15">
        <f t="shared" si="5"/>
        <v>8</v>
      </c>
    </row>
    <row r="182" spans="1:6" x14ac:dyDescent="0.2">
      <c r="A182" s="16" t="s">
        <v>192</v>
      </c>
      <c r="B182" s="17" t="s">
        <v>114</v>
      </c>
      <c r="C182" s="110">
        <v>1</v>
      </c>
      <c r="D182" s="82">
        <f>D169</f>
        <v>60</v>
      </c>
      <c r="E182" s="18">
        <f t="shared" ref="E182:E183" si="6">C182*D182</f>
        <v>60</v>
      </c>
    </row>
    <row r="183" spans="1:6" ht="13.5" thickBot="1" x14ac:dyDescent="0.25">
      <c r="A183" s="16" t="s">
        <v>4</v>
      </c>
      <c r="B183" s="17" t="s">
        <v>5</v>
      </c>
      <c r="C183" s="66">
        <f>E41+E42</f>
        <v>1</v>
      </c>
      <c r="D183" s="18">
        <f>+SUM(E176:E182)</f>
        <v>162.25</v>
      </c>
      <c r="E183" s="18">
        <f t="shared" si="6"/>
        <v>162.25</v>
      </c>
    </row>
    <row r="184" spans="1:6" ht="13.5" thickBot="1" x14ac:dyDescent="0.25">
      <c r="D184" s="112" t="s">
        <v>189</v>
      </c>
      <c r="E184" s="50">
        <f>E88</f>
        <v>0.65</v>
      </c>
      <c r="F184" s="113">
        <f>E183*E184</f>
        <v>105.46250000000001</v>
      </c>
    </row>
    <row r="185" spans="1:6" ht="11.25" customHeight="1" thickBot="1" x14ac:dyDescent="0.25"/>
    <row r="186" spans="1:6" ht="13.5" thickBot="1" x14ac:dyDescent="0.25">
      <c r="A186" s="24" t="s">
        <v>194</v>
      </c>
      <c r="B186" s="28"/>
      <c r="C186" s="28"/>
      <c r="D186" s="29"/>
      <c r="E186" s="30"/>
      <c r="F186" s="21">
        <f>+F171+F184</f>
        <v>310.20249999999999</v>
      </c>
    </row>
    <row r="187" spans="1:6" ht="11.25" customHeight="1" x14ac:dyDescent="0.2"/>
    <row r="188" spans="1:6" x14ac:dyDescent="0.2">
      <c r="A188" s="11" t="s">
        <v>50</v>
      </c>
    </row>
    <row r="189" spans="1:6" ht="11.25" customHeight="1" x14ac:dyDescent="0.2">
      <c r="B189" s="98"/>
    </row>
    <row r="190" spans="1:6" x14ac:dyDescent="0.2">
      <c r="A190" s="7" t="s">
        <v>298</v>
      </c>
    </row>
    <row r="191" spans="1:6" ht="11.25" customHeight="1" x14ac:dyDescent="0.2"/>
    <row r="192" spans="1:6" ht="13.5" thickBot="1" x14ac:dyDescent="0.25">
      <c r="A192" t="s">
        <v>42</v>
      </c>
    </row>
    <row r="193" spans="1:6" ht="13.5" thickBot="1" x14ac:dyDescent="0.25">
      <c r="A193" s="57" t="s">
        <v>59</v>
      </c>
      <c r="B193" s="58" t="s">
        <v>60</v>
      </c>
      <c r="C193" s="58" t="s">
        <v>36</v>
      </c>
      <c r="D193" s="59" t="s">
        <v>228</v>
      </c>
      <c r="E193" s="59" t="s">
        <v>61</v>
      </c>
      <c r="F193" s="60" t="s">
        <v>62</v>
      </c>
    </row>
    <row r="194" spans="1:6" x14ac:dyDescent="0.2">
      <c r="A194" s="13" t="s">
        <v>101</v>
      </c>
      <c r="B194" s="14" t="s">
        <v>9</v>
      </c>
      <c r="C194" s="257">
        <v>1</v>
      </c>
      <c r="D194" s="274">
        <v>213974</v>
      </c>
      <c r="E194" s="15">
        <f>C194*D194</f>
        <v>213974</v>
      </c>
    </row>
    <row r="195" spans="1:6" x14ac:dyDescent="0.2">
      <c r="A195" s="16" t="s">
        <v>95</v>
      </c>
      <c r="B195" s="17" t="s">
        <v>96</v>
      </c>
      <c r="C195" s="81">
        <v>8</v>
      </c>
      <c r="D195" s="79"/>
      <c r="E195" s="18"/>
    </row>
    <row r="196" spans="1:6" x14ac:dyDescent="0.2">
      <c r="A196" s="16" t="s">
        <v>207</v>
      </c>
      <c r="B196" s="17" t="s">
        <v>96</v>
      </c>
      <c r="C196" s="81">
        <v>4</v>
      </c>
      <c r="D196" s="18"/>
      <c r="E196" s="18"/>
      <c r="F196" s="20"/>
    </row>
    <row r="197" spans="1:6" x14ac:dyDescent="0.2">
      <c r="A197" s="16" t="s">
        <v>99</v>
      </c>
      <c r="B197" s="17" t="s">
        <v>1</v>
      </c>
      <c r="C197" s="127">
        <f>IFERROR(VLOOKUP(C195,'5. Depreciação'!A3:B17,2,FALSE),0)</f>
        <v>62.12</v>
      </c>
      <c r="D197" s="18">
        <f>E194</f>
        <v>213974</v>
      </c>
      <c r="E197" s="18">
        <f>C197*D197/100</f>
        <v>132920.6488</v>
      </c>
    </row>
    <row r="198" spans="1:6" ht="13.5" thickBot="1" x14ac:dyDescent="0.25">
      <c r="A198" s="263" t="s">
        <v>46</v>
      </c>
      <c r="B198" s="264" t="s">
        <v>7</v>
      </c>
      <c r="C198" s="264">
        <f>C195*12</f>
        <v>96</v>
      </c>
      <c r="D198" s="265">
        <f>IF(C196&lt;=C195,E197,0)</f>
        <v>132920.6488</v>
      </c>
      <c r="E198" s="265">
        <f>IFERROR(D198/C198,0)</f>
        <v>1384.5900916666667</v>
      </c>
    </row>
    <row r="199" spans="1:6" ht="13.5" thickTop="1" x14ac:dyDescent="0.2">
      <c r="A199" s="13" t="s">
        <v>100</v>
      </c>
      <c r="B199" s="14" t="s">
        <v>9</v>
      </c>
      <c r="C199" s="14">
        <f>C194</f>
        <v>1</v>
      </c>
      <c r="D199" s="82">
        <v>70000</v>
      </c>
      <c r="E199" s="15">
        <f>C199*D199</f>
        <v>70000</v>
      </c>
    </row>
    <row r="200" spans="1:6" x14ac:dyDescent="0.2">
      <c r="A200" s="16" t="s">
        <v>97</v>
      </c>
      <c r="B200" s="17" t="s">
        <v>96</v>
      </c>
      <c r="C200" s="81">
        <v>8</v>
      </c>
      <c r="D200" s="18"/>
      <c r="E200" s="18"/>
    </row>
    <row r="201" spans="1:6" x14ac:dyDescent="0.2">
      <c r="A201" s="16" t="s">
        <v>208</v>
      </c>
      <c r="B201" s="17" t="s">
        <v>96</v>
      </c>
      <c r="C201" s="81">
        <v>4</v>
      </c>
      <c r="D201" s="18"/>
      <c r="E201" s="18"/>
      <c r="F201" s="20"/>
    </row>
    <row r="202" spans="1:6" x14ac:dyDescent="0.2">
      <c r="A202" s="16" t="s">
        <v>98</v>
      </c>
      <c r="B202" s="17" t="s">
        <v>1</v>
      </c>
      <c r="C202" s="128">
        <f>IFERROR(VLOOKUP(C200,'5. Depreciação'!A3:B17,2,FALSE),0)</f>
        <v>62.12</v>
      </c>
      <c r="D202" s="18">
        <f>E199</f>
        <v>70000</v>
      </c>
      <c r="E202" s="18">
        <f>C202*D202/100</f>
        <v>43484</v>
      </c>
    </row>
    <row r="203" spans="1:6" x14ac:dyDescent="0.2">
      <c r="A203" s="94" t="s">
        <v>102</v>
      </c>
      <c r="B203" s="95" t="s">
        <v>7</v>
      </c>
      <c r="C203" s="95">
        <f>C200*12</f>
        <v>96</v>
      </c>
      <c r="D203" s="96">
        <f>IF(C201&lt;=C200,E202,0)</f>
        <v>43484</v>
      </c>
      <c r="E203" s="96">
        <f>IFERROR(D203/C203,0)</f>
        <v>452.95833333333331</v>
      </c>
    </row>
    <row r="204" spans="1:6" x14ac:dyDescent="0.2">
      <c r="A204" s="106" t="s">
        <v>247</v>
      </c>
      <c r="B204" s="107"/>
      <c r="C204" s="107"/>
      <c r="D204" s="108"/>
      <c r="E204" s="109">
        <f>E198+E203</f>
        <v>1837.548425</v>
      </c>
    </row>
    <row r="205" spans="1:6" ht="13.5" thickBot="1" x14ac:dyDescent="0.25">
      <c r="A205" s="94" t="s">
        <v>248</v>
      </c>
      <c r="B205" s="95" t="s">
        <v>9</v>
      </c>
      <c r="C205" s="81">
        <v>1</v>
      </c>
      <c r="D205" s="96">
        <f>E204</f>
        <v>1837.548425</v>
      </c>
      <c r="E205" s="109">
        <f>C205*D205</f>
        <v>1837.548425</v>
      </c>
    </row>
    <row r="206" spans="1:6" ht="13.5" thickBot="1" x14ac:dyDescent="0.25">
      <c r="A206" s="256"/>
      <c r="B206" s="256"/>
      <c r="C206" s="256"/>
      <c r="D206" s="112" t="s">
        <v>189</v>
      </c>
      <c r="E206" s="289">
        <f>E184</f>
        <v>0.65</v>
      </c>
      <c r="F206" s="21">
        <f>E205*E206</f>
        <v>1194.40647625</v>
      </c>
    </row>
    <row r="207" spans="1:6" ht="11.25" customHeight="1" x14ac:dyDescent="0.2"/>
    <row r="208" spans="1:6" ht="13.5" thickBot="1" x14ac:dyDescent="0.25">
      <c r="A208" t="s">
        <v>105</v>
      </c>
    </row>
    <row r="209" spans="1:6" ht="13.5" thickBot="1" x14ac:dyDescent="0.25">
      <c r="A209" s="100" t="s">
        <v>59</v>
      </c>
      <c r="B209" s="101" t="s">
        <v>60</v>
      </c>
      <c r="C209" s="101" t="s">
        <v>36</v>
      </c>
      <c r="D209" s="59" t="s">
        <v>228</v>
      </c>
      <c r="E209" s="102" t="s">
        <v>61</v>
      </c>
      <c r="F209" s="60" t="s">
        <v>62</v>
      </c>
    </row>
    <row r="210" spans="1:6" x14ac:dyDescent="0.2">
      <c r="A210" s="16" t="s">
        <v>103</v>
      </c>
      <c r="B210" s="17" t="s">
        <v>9</v>
      </c>
      <c r="C210" s="257">
        <v>1</v>
      </c>
      <c r="D210" s="18">
        <f>D194</f>
        <v>213974</v>
      </c>
      <c r="E210" s="18">
        <f>C210*D210</f>
        <v>213974</v>
      </c>
      <c r="F210" s="20"/>
    </row>
    <row r="211" spans="1:6" x14ac:dyDescent="0.2">
      <c r="A211" s="16" t="s">
        <v>211</v>
      </c>
      <c r="B211" s="17" t="s">
        <v>1</v>
      </c>
      <c r="C211" s="81">
        <v>6.5</v>
      </c>
      <c r="D211" s="18"/>
      <c r="E211" s="18"/>
      <c r="F211" s="20"/>
    </row>
    <row r="212" spans="1:6" x14ac:dyDescent="0.2">
      <c r="A212" s="16" t="s">
        <v>209</v>
      </c>
      <c r="B212" s="17" t="s">
        <v>32</v>
      </c>
      <c r="C212" s="135">
        <f>IFERROR(IF(C196&lt;=C195,E194-(C197/(100*C195)*C196)*E194,E194-E197),0)</f>
        <v>147513.67560000002</v>
      </c>
      <c r="D212" s="18"/>
      <c r="E212" s="18"/>
      <c r="F212" s="20"/>
    </row>
    <row r="213" spans="1:6" x14ac:dyDescent="0.2">
      <c r="A213" s="16" t="s">
        <v>107</v>
      </c>
      <c r="B213" s="17" t="s">
        <v>32</v>
      </c>
      <c r="C213" s="79">
        <f>IFERROR(IF(C196&gt;=C195,C212,((((C212)-(E194-E197))*(((C195-C196)+1)/(2*(C195-C196))))+(E194-E197))),0)</f>
        <v>122591.05395000002</v>
      </c>
      <c r="D213" s="18"/>
      <c r="E213" s="18"/>
      <c r="F213" s="20"/>
    </row>
    <row r="214" spans="1:6" ht="13.5" thickBot="1" x14ac:dyDescent="0.25">
      <c r="A214" s="263" t="s">
        <v>108</v>
      </c>
      <c r="B214" s="264" t="s">
        <v>32</v>
      </c>
      <c r="C214" s="264"/>
      <c r="D214" s="266">
        <f>C211*C213/12/100</f>
        <v>664.03487556250013</v>
      </c>
      <c r="E214" s="265">
        <f>D214</f>
        <v>664.03487556250013</v>
      </c>
      <c r="F214" s="20"/>
    </row>
    <row r="215" spans="1:6" ht="13.5" thickTop="1" x14ac:dyDescent="0.2">
      <c r="A215" s="13" t="s">
        <v>104</v>
      </c>
      <c r="B215" s="14" t="s">
        <v>9</v>
      </c>
      <c r="C215" s="14">
        <f>C199</f>
        <v>1</v>
      </c>
      <c r="D215" s="15">
        <f>D199</f>
        <v>70000</v>
      </c>
      <c r="E215" s="15">
        <f>C215*D215</f>
        <v>70000</v>
      </c>
      <c r="F215" s="20"/>
    </row>
    <row r="216" spans="1:6" x14ac:dyDescent="0.2">
      <c r="A216" s="16" t="s">
        <v>211</v>
      </c>
      <c r="B216" s="17" t="s">
        <v>1</v>
      </c>
      <c r="C216" s="258">
        <f>C211</f>
        <v>6.5</v>
      </c>
      <c r="D216" s="18"/>
      <c r="E216" s="18"/>
      <c r="F216" s="20"/>
    </row>
    <row r="217" spans="1:6" x14ac:dyDescent="0.2">
      <c r="A217" s="16" t="s">
        <v>210</v>
      </c>
      <c r="B217" s="17" t="s">
        <v>32</v>
      </c>
      <c r="C217" s="135">
        <f>IFERROR(IF(C201&lt;=C200,E199-(C202/(100*C200)*C201)*E199,E199-E202),0)</f>
        <v>48258</v>
      </c>
      <c r="D217" s="18"/>
      <c r="E217" s="18"/>
      <c r="F217" s="20"/>
    </row>
    <row r="218" spans="1:6" x14ac:dyDescent="0.2">
      <c r="A218" s="16" t="s">
        <v>109</v>
      </c>
      <c r="B218" s="17" t="s">
        <v>32</v>
      </c>
      <c r="C218" s="79">
        <f>IFERROR(IF(C201&gt;=C200,C217,((((C217)-(E199-E202))*(((C200-C201)+1)/(2*(C200-C201))))+(E199-E202))),0)</f>
        <v>40104.75</v>
      </c>
      <c r="D218" s="18"/>
      <c r="E218" s="18"/>
      <c r="F218" s="20"/>
    </row>
    <row r="219" spans="1:6" x14ac:dyDescent="0.2">
      <c r="A219" s="94" t="s">
        <v>106</v>
      </c>
      <c r="B219" s="95" t="s">
        <v>32</v>
      </c>
      <c r="C219" s="95"/>
      <c r="D219" s="103">
        <f>C216*C218/12/100</f>
        <v>217.23406249999999</v>
      </c>
      <c r="E219" s="96">
        <f>D219</f>
        <v>217.23406249999999</v>
      </c>
      <c r="F219" s="20"/>
    </row>
    <row r="220" spans="1:6" x14ac:dyDescent="0.2">
      <c r="A220" s="106" t="s">
        <v>247</v>
      </c>
      <c r="B220" s="107"/>
      <c r="C220" s="107"/>
      <c r="D220" s="108"/>
      <c r="E220" s="109">
        <f>E214+E219</f>
        <v>881.26893806250018</v>
      </c>
      <c r="F220" s="20"/>
    </row>
    <row r="221" spans="1:6" ht="13.5" thickBot="1" x14ac:dyDescent="0.25">
      <c r="A221" s="94" t="s">
        <v>248</v>
      </c>
      <c r="B221" s="95" t="s">
        <v>9</v>
      </c>
      <c r="C221" s="258">
        <v>1</v>
      </c>
      <c r="D221" s="96">
        <f>E220</f>
        <v>881.26893806250018</v>
      </c>
      <c r="E221" s="109">
        <f>C221*D221</f>
        <v>881.26893806250018</v>
      </c>
      <c r="F221" s="20"/>
    </row>
    <row r="222" spans="1:6" ht="13.5" thickBot="1" x14ac:dyDescent="0.25">
      <c r="C222" s="19"/>
      <c r="D222" s="112" t="s">
        <v>189</v>
      </c>
      <c r="E222" s="289">
        <f>E206</f>
        <v>0.65</v>
      </c>
      <c r="F222" s="21">
        <f>E221*E222</f>
        <v>572.82480974062514</v>
      </c>
    </row>
    <row r="223" spans="1:6" ht="11.25" customHeight="1" x14ac:dyDescent="0.2"/>
    <row r="224" spans="1:6" ht="13.5" thickBot="1" x14ac:dyDescent="0.25">
      <c r="A224" s="9" t="s">
        <v>47</v>
      </c>
    </row>
    <row r="225" spans="1:9" ht="13.5" thickBot="1" x14ac:dyDescent="0.25">
      <c r="A225" s="57" t="s">
        <v>59</v>
      </c>
      <c r="B225" s="58" t="s">
        <v>60</v>
      </c>
      <c r="C225" s="58" t="s">
        <v>36</v>
      </c>
      <c r="D225" s="59" t="s">
        <v>228</v>
      </c>
      <c r="E225" s="59" t="s">
        <v>61</v>
      </c>
      <c r="F225" s="60" t="s">
        <v>62</v>
      </c>
    </row>
    <row r="226" spans="1:9" x14ac:dyDescent="0.2">
      <c r="A226" s="13" t="s">
        <v>11</v>
      </c>
      <c r="B226" s="14" t="s">
        <v>9</v>
      </c>
      <c r="C226" s="15">
        <v>1</v>
      </c>
      <c r="D226" s="15">
        <f>0.01*($C$212)</f>
        <v>1475.1367560000001</v>
      </c>
      <c r="E226" s="15">
        <f>C226*D226</f>
        <v>1475.1367560000001</v>
      </c>
    </row>
    <row r="227" spans="1:9" x14ac:dyDescent="0.2">
      <c r="A227" s="16" t="s">
        <v>188</v>
      </c>
      <c r="B227" s="17" t="s">
        <v>9</v>
      </c>
      <c r="C227" s="15">
        <v>1</v>
      </c>
      <c r="D227" s="83">
        <v>150</v>
      </c>
      <c r="E227" s="18">
        <f>C227*D227</f>
        <v>150</v>
      </c>
    </row>
    <row r="228" spans="1:9" x14ac:dyDescent="0.2">
      <c r="A228" s="16" t="s">
        <v>12</v>
      </c>
      <c r="B228" s="17" t="s">
        <v>9</v>
      </c>
      <c r="C228" s="15">
        <v>1</v>
      </c>
      <c r="D228" s="83">
        <v>2744</v>
      </c>
      <c r="E228" s="18">
        <f>C228*D228</f>
        <v>2744</v>
      </c>
      <c r="F228" s="31"/>
    </row>
    <row r="229" spans="1:9" ht="13.5" thickBot="1" x14ac:dyDescent="0.25">
      <c r="A229" s="94" t="s">
        <v>13</v>
      </c>
      <c r="B229" s="95" t="s">
        <v>7</v>
      </c>
      <c r="C229" s="95">
        <v>12</v>
      </c>
      <c r="D229" s="96">
        <f>SUM(E226:E228)</f>
        <v>4369.1367559999999</v>
      </c>
      <c r="E229" s="96">
        <f>D229/C229</f>
        <v>364.09472966666664</v>
      </c>
    </row>
    <row r="230" spans="1:9" ht="13.5" thickBot="1" x14ac:dyDescent="0.25">
      <c r="D230" s="112" t="s">
        <v>189</v>
      </c>
      <c r="E230" s="289">
        <f>E222</f>
        <v>0.65</v>
      </c>
      <c r="F230" s="113">
        <f>E229*E230</f>
        <v>236.66157428333332</v>
      </c>
    </row>
    <row r="231" spans="1:9" ht="11.25" customHeight="1" x14ac:dyDescent="0.2"/>
    <row r="232" spans="1:9" x14ac:dyDescent="0.2">
      <c r="A232" s="9" t="s">
        <v>48</v>
      </c>
      <c r="B232" s="336" t="s">
        <v>301</v>
      </c>
      <c r="C232" s="332" t="s">
        <v>302</v>
      </c>
      <c r="D232" s="333" t="s">
        <v>300</v>
      </c>
    </row>
    <row r="233" spans="1:9" x14ac:dyDescent="0.2">
      <c r="B233" s="334">
        <f>112+112+32</f>
        <v>256</v>
      </c>
      <c r="C233" s="335">
        <f>16+16</f>
        <v>32</v>
      </c>
      <c r="D233" s="335">
        <f>112+112+110</f>
        <v>334</v>
      </c>
      <c r="E233" s="331"/>
    </row>
    <row r="234" spans="1:9" x14ac:dyDescent="0.2">
      <c r="B234" s="334">
        <f>B233*52*3</f>
        <v>39936</v>
      </c>
      <c r="C234" s="335">
        <f>C233*52</f>
        <v>1664</v>
      </c>
      <c r="D234" s="335">
        <f>D233/2*52</f>
        <v>8684</v>
      </c>
      <c r="E234" s="331"/>
    </row>
    <row r="235" spans="1:9" x14ac:dyDescent="0.2">
      <c r="A235" s="94" t="s">
        <v>111</v>
      </c>
      <c r="B235" s="289">
        <f>(B234+C234+D234)/12</f>
        <v>4190.333333333333</v>
      </c>
      <c r="C235" s="7"/>
      <c r="G235" s="80"/>
      <c r="H235" s="337"/>
      <c r="I235" s="80"/>
    </row>
    <row r="236" spans="1:9" ht="13.5" thickBot="1" x14ac:dyDescent="0.25">
      <c r="B236" s="32"/>
      <c r="I236" s="80"/>
    </row>
    <row r="237" spans="1:9" ht="13.5" thickBot="1" x14ac:dyDescent="0.25">
      <c r="A237" s="57" t="s">
        <v>59</v>
      </c>
      <c r="B237" s="58" t="s">
        <v>60</v>
      </c>
      <c r="C237" s="58" t="s">
        <v>246</v>
      </c>
      <c r="D237" s="59" t="s">
        <v>228</v>
      </c>
      <c r="E237" s="59" t="s">
        <v>61</v>
      </c>
      <c r="F237" s="60" t="s">
        <v>62</v>
      </c>
    </row>
    <row r="238" spans="1:9" x14ac:dyDescent="0.2">
      <c r="A238" s="272" t="s">
        <v>289</v>
      </c>
      <c r="B238" s="14" t="s">
        <v>14</v>
      </c>
      <c r="C238" s="90">
        <v>3</v>
      </c>
      <c r="D238" s="91">
        <v>6.18</v>
      </c>
      <c r="E238" s="15"/>
    </row>
    <row r="239" spans="1:9" x14ac:dyDescent="0.2">
      <c r="A239" s="16" t="s">
        <v>15</v>
      </c>
      <c r="B239" s="17" t="s">
        <v>16</v>
      </c>
      <c r="C239" s="327">
        <f>B235</f>
        <v>4190.333333333333</v>
      </c>
      <c r="D239" s="255">
        <f>IFERROR(+D238/C238,"-")</f>
        <v>2.06</v>
      </c>
      <c r="E239" s="18">
        <f>IFERROR(C239*D239,"-")</f>
        <v>8632.0866666666661</v>
      </c>
    </row>
    <row r="240" spans="1:9" x14ac:dyDescent="0.2">
      <c r="A240" s="16" t="s">
        <v>229</v>
      </c>
      <c r="B240" s="17" t="s">
        <v>17</v>
      </c>
      <c r="C240" s="283">
        <v>1.33</v>
      </c>
      <c r="D240" s="276">
        <v>15.5</v>
      </c>
      <c r="E240" s="18"/>
    </row>
    <row r="241" spans="1:8" x14ac:dyDescent="0.2">
      <c r="A241" s="16" t="s">
        <v>18</v>
      </c>
      <c r="B241" s="17" t="s">
        <v>16</v>
      </c>
      <c r="C241" s="18">
        <f>B235</f>
        <v>4190.333333333333</v>
      </c>
      <c r="D241" s="252">
        <f>+C240*D240/1000</f>
        <v>2.0615000000000001E-2</v>
      </c>
      <c r="E241" s="18">
        <f>C241*D241</f>
        <v>86.383721666666659</v>
      </c>
    </row>
    <row r="242" spans="1:8" x14ac:dyDescent="0.2">
      <c r="A242" s="16" t="s">
        <v>230</v>
      </c>
      <c r="B242" s="17" t="s">
        <v>17</v>
      </c>
      <c r="C242" s="283">
        <v>0.18</v>
      </c>
      <c r="D242" s="276">
        <v>21.86</v>
      </c>
      <c r="E242" s="18"/>
    </row>
    <row r="243" spans="1:8" x14ac:dyDescent="0.2">
      <c r="A243" s="16" t="s">
        <v>19</v>
      </c>
      <c r="B243" s="17" t="s">
        <v>16</v>
      </c>
      <c r="C243" s="18">
        <f>B235</f>
        <v>4190.333333333333</v>
      </c>
      <c r="D243" s="252">
        <f>+C242*D242/1000</f>
        <v>3.9347999999999996E-3</v>
      </c>
      <c r="E243" s="18">
        <f>C243*D243</f>
        <v>16.488123599999998</v>
      </c>
    </row>
    <row r="244" spans="1:8" x14ac:dyDescent="0.2">
      <c r="A244" s="269" t="s">
        <v>292</v>
      </c>
      <c r="B244" s="270" t="s">
        <v>17</v>
      </c>
      <c r="C244" s="283">
        <v>0.5</v>
      </c>
      <c r="D244" s="276">
        <v>33.5</v>
      </c>
      <c r="E244" s="291"/>
    </row>
    <row r="245" spans="1:8" x14ac:dyDescent="0.2">
      <c r="A245" s="269" t="s">
        <v>293</v>
      </c>
      <c r="B245" s="270" t="s">
        <v>16</v>
      </c>
      <c r="C245" s="291">
        <f>B235</f>
        <v>4190.333333333333</v>
      </c>
      <c r="D245" s="292">
        <f>+C244*D244/1000</f>
        <v>1.6750000000000001E-2</v>
      </c>
      <c r="E245" s="291">
        <f>C245*D245</f>
        <v>70.188083333333338</v>
      </c>
    </row>
    <row r="246" spans="1:8" x14ac:dyDescent="0.2">
      <c r="A246" s="269" t="s">
        <v>275</v>
      </c>
      <c r="B246" s="270" t="s">
        <v>17</v>
      </c>
      <c r="C246" s="283">
        <v>25</v>
      </c>
      <c r="D246" s="276">
        <v>1.8</v>
      </c>
      <c r="E246" s="18"/>
    </row>
    <row r="247" spans="1:8" x14ac:dyDescent="0.2">
      <c r="A247" s="269" t="s">
        <v>276</v>
      </c>
      <c r="B247" s="17" t="s">
        <v>16</v>
      </c>
      <c r="C247" s="18">
        <f>B235</f>
        <v>4190.333333333333</v>
      </c>
      <c r="D247" s="252">
        <f>+C246*D246/1000</f>
        <v>4.4999999999999998E-2</v>
      </c>
      <c r="E247" s="18">
        <f>C247*D247</f>
        <v>188.56499999999997</v>
      </c>
    </row>
    <row r="248" spans="1:8" x14ac:dyDescent="0.2">
      <c r="A248" s="16" t="s">
        <v>20</v>
      </c>
      <c r="B248" s="17" t="s">
        <v>21</v>
      </c>
      <c r="C248" s="283">
        <v>0.5</v>
      </c>
      <c r="D248" s="276">
        <v>20.41</v>
      </c>
      <c r="E248" s="18"/>
    </row>
    <row r="249" spans="1:8" x14ac:dyDescent="0.2">
      <c r="A249" s="16" t="s">
        <v>22</v>
      </c>
      <c r="B249" s="17" t="s">
        <v>16</v>
      </c>
      <c r="C249" s="18">
        <f>B235</f>
        <v>4190.333333333333</v>
      </c>
      <c r="D249" s="252">
        <f>+C248*D248/1000</f>
        <v>1.0205000000000001E-2</v>
      </c>
      <c r="E249" s="18">
        <f>C249*D249</f>
        <v>42.762351666666667</v>
      </c>
    </row>
    <row r="250" spans="1:8" ht="13.5" thickBot="1" x14ac:dyDescent="0.25">
      <c r="A250" s="94" t="s">
        <v>245</v>
      </c>
      <c r="B250" s="95" t="s">
        <v>112</v>
      </c>
      <c r="C250" s="253"/>
      <c r="D250" s="254">
        <f>IFERROR(D239+D241+D243+D247+D249,0)</f>
        <v>2.1397548</v>
      </c>
      <c r="E250" s="18"/>
    </row>
    <row r="251" spans="1:8" ht="13.5" thickBot="1" x14ac:dyDescent="0.25">
      <c r="F251" s="21">
        <f>SUM(E238:E249)</f>
        <v>9036.4739469333326</v>
      </c>
    </row>
    <row r="252" spans="1:8" ht="13.5" thickBot="1" x14ac:dyDescent="0.25">
      <c r="A252" s="9" t="s">
        <v>49</v>
      </c>
    </row>
    <row r="253" spans="1:8" ht="13.5" thickBot="1" x14ac:dyDescent="0.25">
      <c r="A253" s="57" t="s">
        <v>59</v>
      </c>
      <c r="B253" s="58" t="s">
        <v>60</v>
      </c>
      <c r="C253" s="58" t="s">
        <v>36</v>
      </c>
      <c r="D253" s="59" t="s">
        <v>228</v>
      </c>
      <c r="E253" s="59" t="s">
        <v>61</v>
      </c>
      <c r="F253" s="60" t="s">
        <v>62</v>
      </c>
    </row>
    <row r="254" spans="1:8" ht="13.5" thickBot="1" x14ac:dyDescent="0.25">
      <c r="A254" s="13" t="s">
        <v>110</v>
      </c>
      <c r="B254" s="14" t="s">
        <v>112</v>
      </c>
      <c r="C254" s="18">
        <f>B235</f>
        <v>4190.333333333333</v>
      </c>
      <c r="D254" s="82">
        <v>0.79</v>
      </c>
      <c r="E254" s="15">
        <f>C254*D254</f>
        <v>3310.3633333333332</v>
      </c>
    </row>
    <row r="255" spans="1:8" ht="13.5" thickBot="1" x14ac:dyDescent="0.25">
      <c r="F255" s="21">
        <f>E254</f>
        <v>3310.3633333333332</v>
      </c>
      <c r="H255" s="80"/>
    </row>
    <row r="256" spans="1:8" ht="13.5" thickBot="1" x14ac:dyDescent="0.25">
      <c r="A256" s="9" t="s">
        <v>57</v>
      </c>
    </row>
    <row r="257" spans="1:6" ht="13.5" thickBot="1" x14ac:dyDescent="0.25">
      <c r="A257" s="57" t="s">
        <v>59</v>
      </c>
      <c r="B257" s="58" t="s">
        <v>60</v>
      </c>
      <c r="C257" s="58" t="s">
        <v>36</v>
      </c>
      <c r="D257" s="59" t="s">
        <v>228</v>
      </c>
      <c r="E257" s="59" t="s">
        <v>61</v>
      </c>
      <c r="F257" s="60" t="s">
        <v>62</v>
      </c>
    </row>
    <row r="258" spans="1:6" x14ac:dyDescent="0.2">
      <c r="A258" s="272" t="s">
        <v>259</v>
      </c>
      <c r="B258" s="14" t="s">
        <v>9</v>
      </c>
      <c r="C258" s="89">
        <v>6</v>
      </c>
      <c r="D258" s="82">
        <v>1577</v>
      </c>
      <c r="E258" s="15">
        <f>C258*D258</f>
        <v>9462</v>
      </c>
    </row>
    <row r="259" spans="1:6" x14ac:dyDescent="0.2">
      <c r="A259" s="13" t="s">
        <v>113</v>
      </c>
      <c r="B259" s="14" t="s">
        <v>9</v>
      </c>
      <c r="C259" s="89">
        <v>2</v>
      </c>
      <c r="D259" s="97"/>
      <c r="E259" s="15"/>
    </row>
    <row r="260" spans="1:6" x14ac:dyDescent="0.2">
      <c r="A260" s="13" t="s">
        <v>66</v>
      </c>
      <c r="B260" s="14" t="s">
        <v>9</v>
      </c>
      <c r="C260" s="15">
        <f>C258*C259</f>
        <v>12</v>
      </c>
      <c r="D260" s="82">
        <v>550</v>
      </c>
      <c r="E260" s="15">
        <f>C260*D260</f>
        <v>6600</v>
      </c>
    </row>
    <row r="261" spans="1:6" x14ac:dyDescent="0.2">
      <c r="A261" s="269" t="s">
        <v>260</v>
      </c>
      <c r="B261" s="17" t="s">
        <v>23</v>
      </c>
      <c r="C261" s="92">
        <v>70000</v>
      </c>
      <c r="D261" s="18">
        <f>E258+E260</f>
        <v>16062</v>
      </c>
      <c r="E261" s="18">
        <f>IFERROR(D261/C261,"-")</f>
        <v>0.22945714285714286</v>
      </c>
    </row>
    <row r="262" spans="1:6" ht="13.5" thickBot="1" x14ac:dyDescent="0.25">
      <c r="A262" s="16" t="s">
        <v>51</v>
      </c>
      <c r="B262" s="17" t="s">
        <v>16</v>
      </c>
      <c r="C262" s="18">
        <f>B235</f>
        <v>4190.333333333333</v>
      </c>
      <c r="D262" s="18">
        <f>E261</f>
        <v>0.22945714285714286</v>
      </c>
      <c r="E262" s="18">
        <f>IFERROR(C262*D262,0)</f>
        <v>961.50191428571418</v>
      </c>
    </row>
    <row r="263" spans="1:6" ht="13.5" thickBot="1" x14ac:dyDescent="0.25">
      <c r="F263" s="21">
        <f>E262</f>
        <v>961.50191428571418</v>
      </c>
    </row>
    <row r="264" spans="1:6" ht="11.25" customHeight="1" thickBot="1" x14ac:dyDescent="0.25"/>
    <row r="265" spans="1:6" ht="13.5" thickBot="1" x14ac:dyDescent="0.25">
      <c r="A265" s="24" t="s">
        <v>219</v>
      </c>
      <c r="B265" s="25"/>
      <c r="C265" s="25"/>
      <c r="D265" s="26"/>
      <c r="E265" s="27"/>
      <c r="F265" s="21">
        <f>+SUM(F194:F264)</f>
        <v>15312.232054826338</v>
      </c>
    </row>
    <row r="266" spans="1:6" ht="11.25" customHeight="1" x14ac:dyDescent="0.2"/>
    <row r="267" spans="1:6" x14ac:dyDescent="0.2">
      <c r="A267" s="34" t="s">
        <v>70</v>
      </c>
      <c r="B267" s="34"/>
      <c r="C267" s="34"/>
      <c r="D267" s="35"/>
      <c r="E267" s="35"/>
      <c r="F267" s="33"/>
    </row>
    <row r="268" spans="1:6" ht="11.25" customHeight="1" thickBot="1" x14ac:dyDescent="0.25"/>
    <row r="269" spans="1:6" ht="13.5" thickBot="1" x14ac:dyDescent="0.25">
      <c r="A269" s="57" t="s">
        <v>59</v>
      </c>
      <c r="B269" s="58" t="s">
        <v>60</v>
      </c>
      <c r="C269" s="58" t="s">
        <v>277</v>
      </c>
      <c r="D269" s="59" t="s">
        <v>228</v>
      </c>
      <c r="E269" s="59" t="s">
        <v>61</v>
      </c>
      <c r="F269" s="60" t="s">
        <v>62</v>
      </c>
    </row>
    <row r="270" spans="1:6" x14ac:dyDescent="0.2">
      <c r="A270" s="16" t="s">
        <v>67</v>
      </c>
      <c r="B270" s="17" t="s">
        <v>9</v>
      </c>
      <c r="C270" s="284">
        <v>6</v>
      </c>
      <c r="D270" s="82">
        <v>39</v>
      </c>
      <c r="E270" s="18">
        <f>D270/C270</f>
        <v>6.5</v>
      </c>
      <c r="F270" s="54"/>
    </row>
    <row r="271" spans="1:6" x14ac:dyDescent="0.2">
      <c r="A271" s="16" t="s">
        <v>25</v>
      </c>
      <c r="B271" s="17" t="s">
        <v>9</v>
      </c>
      <c r="C271" s="284">
        <v>6</v>
      </c>
      <c r="D271" s="82">
        <v>26.92</v>
      </c>
      <c r="E271" s="18">
        <f t="shared" ref="E271:E274" si="7">D271/C271</f>
        <v>4.4866666666666672</v>
      </c>
      <c r="F271" s="54"/>
    </row>
    <row r="272" spans="1:6" x14ac:dyDescent="0.2">
      <c r="A272" s="16" t="s">
        <v>26</v>
      </c>
      <c r="B272" s="17" t="s">
        <v>9</v>
      </c>
      <c r="C272" s="284">
        <v>6</v>
      </c>
      <c r="D272" s="82">
        <v>26.19</v>
      </c>
      <c r="E272" s="18">
        <f t="shared" si="7"/>
        <v>4.3650000000000002</v>
      </c>
      <c r="F272" s="54"/>
    </row>
    <row r="273" spans="1:6" x14ac:dyDescent="0.2">
      <c r="A273" s="269" t="s">
        <v>53</v>
      </c>
      <c r="B273" s="17" t="s">
        <v>54</v>
      </c>
      <c r="C273" s="284">
        <v>12</v>
      </c>
      <c r="D273" s="82">
        <v>400</v>
      </c>
      <c r="E273" s="18">
        <f t="shared" si="7"/>
        <v>33.333333333333336</v>
      </c>
      <c r="F273" s="54"/>
    </row>
    <row r="274" spans="1:6" x14ac:dyDescent="0.2">
      <c r="A274" s="16" t="s">
        <v>56</v>
      </c>
      <c r="B274" s="17" t="s">
        <v>54</v>
      </c>
      <c r="C274" s="284">
        <v>12</v>
      </c>
      <c r="D274" s="82">
        <v>400</v>
      </c>
      <c r="E274" s="18">
        <f t="shared" si="7"/>
        <v>33.333333333333336</v>
      </c>
      <c r="F274" s="54"/>
    </row>
    <row r="275" spans="1:6" ht="13.5" thickBot="1" x14ac:dyDescent="0.25">
      <c r="A275" s="94" t="s">
        <v>248</v>
      </c>
      <c r="B275" s="95" t="s">
        <v>9</v>
      </c>
      <c r="C275" s="79">
        <v>1</v>
      </c>
      <c r="D275" s="96">
        <f>SUM(E270:E274)</f>
        <v>82.018333333333345</v>
      </c>
      <c r="E275" s="96">
        <f>C275*D275</f>
        <v>82.018333333333345</v>
      </c>
      <c r="F275" s="54"/>
    </row>
    <row r="276" spans="1:6" ht="13.5" thickBot="1" x14ac:dyDescent="0.25">
      <c r="A276" s="34"/>
      <c r="B276" s="34"/>
      <c r="C276" s="34"/>
      <c r="D276" s="34"/>
      <c r="E276" s="35"/>
      <c r="F276" s="21">
        <f>E275</f>
        <v>82.018333333333345</v>
      </c>
    </row>
    <row r="277" spans="1:6" ht="11.25" customHeight="1" thickBot="1" x14ac:dyDescent="0.25"/>
    <row r="278" spans="1:6" ht="13.5" thickBot="1" x14ac:dyDescent="0.25">
      <c r="A278" s="24" t="s">
        <v>220</v>
      </c>
      <c r="B278" s="25"/>
      <c r="C278" s="25"/>
      <c r="D278" s="26"/>
      <c r="E278" s="27"/>
      <c r="F278" s="21">
        <f>+F276</f>
        <v>82.018333333333345</v>
      </c>
    </row>
    <row r="279" spans="1:6" ht="11.25" customHeight="1" thickBot="1" x14ac:dyDescent="0.25"/>
    <row r="280" spans="1:6" ht="11.25" hidden="1" customHeight="1" x14ac:dyDescent="0.2"/>
    <row r="281" spans="1:6" ht="11.25" hidden="1" customHeight="1" x14ac:dyDescent="0.2"/>
    <row r="282" spans="1:6" ht="11.25" hidden="1" customHeight="1" x14ac:dyDescent="0.2"/>
    <row r="283" spans="1:6" hidden="1" x14ac:dyDescent="0.2">
      <c r="A283" s="34" t="s">
        <v>285</v>
      </c>
      <c r="B283" s="34"/>
      <c r="C283" s="34"/>
      <c r="D283" s="35"/>
      <c r="E283" s="35"/>
      <c r="F283" s="33"/>
    </row>
    <row r="284" spans="1:6" ht="11.25" hidden="1" customHeight="1" thickBot="1" x14ac:dyDescent="0.25"/>
    <row r="285" spans="1:6" ht="13.5" hidden="1" thickBot="1" x14ac:dyDescent="0.25">
      <c r="A285" s="57" t="s">
        <v>59</v>
      </c>
      <c r="B285" s="58" t="s">
        <v>60</v>
      </c>
      <c r="C285" s="58" t="s">
        <v>36</v>
      </c>
      <c r="D285" s="59" t="s">
        <v>228</v>
      </c>
      <c r="E285" s="59" t="s">
        <v>61</v>
      </c>
      <c r="F285" s="60" t="s">
        <v>62</v>
      </c>
    </row>
    <row r="286" spans="1:6" hidden="1" x14ac:dyDescent="0.2">
      <c r="A286" s="269" t="s">
        <v>286</v>
      </c>
      <c r="B286" s="52" t="s">
        <v>287</v>
      </c>
      <c r="C286" s="288">
        <v>66</v>
      </c>
      <c r="D286" s="83">
        <v>100</v>
      </c>
      <c r="E286" s="18">
        <f>+D286*C286</f>
        <v>6600</v>
      </c>
      <c r="F286" s="54"/>
    </row>
    <row r="287" spans="1:6" s="51" customFormat="1" ht="11.25" hidden="1" customHeight="1" thickBot="1" x14ac:dyDescent="0.25">
      <c r="A287" s="9"/>
      <c r="B287" s="9"/>
      <c r="C287" s="9"/>
      <c r="D287" s="10"/>
      <c r="E287" s="10"/>
      <c r="F287" s="10"/>
    </row>
    <row r="288" spans="1:6" ht="13.5" hidden="1" thickBot="1" x14ac:dyDescent="0.25">
      <c r="A288" s="24" t="s">
        <v>288</v>
      </c>
      <c r="B288" s="25"/>
      <c r="C288" s="25"/>
      <c r="D288" s="26"/>
      <c r="E288" s="27"/>
      <c r="F288" s="21">
        <v>0</v>
      </c>
    </row>
    <row r="289" spans="1:6" ht="13.5" hidden="1" thickBot="1" x14ac:dyDescent="0.25">
      <c r="A289" s="34"/>
      <c r="B289" s="34"/>
      <c r="C289" s="34"/>
      <c r="D289" s="35"/>
      <c r="E289" s="35"/>
    </row>
    <row r="290" spans="1:6" hidden="1" x14ac:dyDescent="0.2">
      <c r="A290" s="11" t="s">
        <v>278</v>
      </c>
    </row>
    <row r="291" spans="1:6" ht="13.5" hidden="1" thickBot="1" x14ac:dyDescent="0.25">
      <c r="A291" s="7"/>
    </row>
    <row r="292" spans="1:6" ht="13.5" hidden="1" thickBot="1" x14ac:dyDescent="0.25">
      <c r="A292" s="57" t="s">
        <v>59</v>
      </c>
      <c r="B292" s="58" t="s">
        <v>60</v>
      </c>
      <c r="C292" s="58" t="s">
        <v>36</v>
      </c>
      <c r="D292" s="59" t="s">
        <v>228</v>
      </c>
      <c r="E292" s="59" t="s">
        <v>61</v>
      </c>
      <c r="F292" s="60" t="s">
        <v>62</v>
      </c>
    </row>
    <row r="293" spans="1:6" hidden="1" x14ac:dyDescent="0.2">
      <c r="A293" s="272" t="s">
        <v>279</v>
      </c>
      <c r="B293" s="14" t="s">
        <v>112</v>
      </c>
      <c r="C293" s="87">
        <v>0</v>
      </c>
      <c r="D293" s="82">
        <v>1.22</v>
      </c>
      <c r="E293" s="15">
        <f>C293*D293</f>
        <v>0</v>
      </c>
    </row>
    <row r="294" spans="1:6" hidden="1" x14ac:dyDescent="0.2">
      <c r="A294" s="272" t="s">
        <v>283</v>
      </c>
      <c r="B294" s="273" t="s">
        <v>280</v>
      </c>
      <c r="C294" s="141">
        <v>0</v>
      </c>
      <c r="D294" s="82">
        <v>1000</v>
      </c>
      <c r="E294" s="15">
        <f>C294*D294</f>
        <v>0</v>
      </c>
    </row>
    <row r="295" spans="1:6" ht="13.5" hidden="1" thickBot="1" x14ac:dyDescent="0.25">
      <c r="A295" s="269" t="s">
        <v>282</v>
      </c>
      <c r="B295" s="52" t="s">
        <v>280</v>
      </c>
      <c r="C295" s="141">
        <v>0</v>
      </c>
      <c r="D295" s="82">
        <v>2500</v>
      </c>
      <c r="E295" s="15">
        <f>C295*D295</f>
        <v>0</v>
      </c>
      <c r="F295" s="54"/>
    </row>
    <row r="296" spans="1:6" ht="13.5" hidden="1" thickBot="1" x14ac:dyDescent="0.25">
      <c r="A296" s="77"/>
      <c r="B296" s="77"/>
      <c r="C296" s="77"/>
      <c r="D296" s="112" t="s">
        <v>189</v>
      </c>
      <c r="E296" s="50" t="e">
        <f>#REF!</f>
        <v>#REF!</v>
      </c>
      <c r="F296" s="78">
        <f>SUM(E293:E295)</f>
        <v>0</v>
      </c>
    </row>
    <row r="297" spans="1:6" ht="11.25" hidden="1" customHeight="1" thickBot="1" x14ac:dyDescent="0.25"/>
    <row r="298" spans="1:6" ht="17.25" customHeight="1" thickBot="1" x14ac:dyDescent="0.25">
      <c r="A298" s="24" t="s">
        <v>221</v>
      </c>
      <c r="B298" s="28"/>
      <c r="C298" s="28"/>
      <c r="D298" s="29"/>
      <c r="E298" s="30"/>
      <c r="F298" s="22">
        <f>F288+F278+F265+F255+F251+F230+F222+F206</f>
        <v>29744.980528700296</v>
      </c>
    </row>
    <row r="299" spans="1:6" ht="11.25" customHeight="1" x14ac:dyDescent="0.2"/>
    <row r="300" spans="1:6" x14ac:dyDescent="0.2">
      <c r="A300" s="11" t="s">
        <v>299</v>
      </c>
    </row>
    <row r="301" spans="1:6" ht="11.25" customHeight="1" thickBot="1" x14ac:dyDescent="0.25"/>
    <row r="302" spans="1:6" ht="13.5" thickBot="1" x14ac:dyDescent="0.25">
      <c r="A302" s="57" t="s">
        <v>59</v>
      </c>
      <c r="B302" s="58" t="s">
        <v>60</v>
      </c>
      <c r="C302" s="58" t="s">
        <v>36</v>
      </c>
      <c r="D302" s="59" t="s">
        <v>228</v>
      </c>
      <c r="E302" s="59" t="s">
        <v>61</v>
      </c>
      <c r="F302" s="60" t="s">
        <v>62</v>
      </c>
    </row>
    <row r="303" spans="1:6" ht="13.5" thickBot="1" x14ac:dyDescent="0.25">
      <c r="A303" s="13" t="s">
        <v>33</v>
      </c>
      <c r="B303" s="14" t="s">
        <v>1</v>
      </c>
      <c r="C303" s="127">
        <f>'4.BDI'!C18*100</f>
        <v>23.880000000000003</v>
      </c>
      <c r="D303" s="15">
        <f>+F298</f>
        <v>29744.980528700296</v>
      </c>
      <c r="E303" s="15">
        <f>C303*D303/100</f>
        <v>7103.1013502536316</v>
      </c>
    </row>
    <row r="304" spans="1:6" ht="13.5" thickBot="1" x14ac:dyDescent="0.25">
      <c r="F304" s="21">
        <f>+E303</f>
        <v>7103.1013502536316</v>
      </c>
    </row>
    <row r="305" spans="1:7" ht="11.25" customHeight="1" thickBot="1" x14ac:dyDescent="0.25"/>
    <row r="306" spans="1:7" ht="13.5" thickBot="1" x14ac:dyDescent="0.25">
      <c r="A306" s="24" t="s">
        <v>232</v>
      </c>
      <c r="B306" s="28"/>
      <c r="C306" s="28"/>
      <c r="D306" s="29"/>
      <c r="E306" s="30"/>
      <c r="F306" s="22">
        <f>F304</f>
        <v>7103.1013502536316</v>
      </c>
    </row>
    <row r="307" spans="1:7" x14ac:dyDescent="0.2">
      <c r="A307" s="34"/>
      <c r="B307" s="34"/>
      <c r="C307" s="34"/>
      <c r="D307" s="35"/>
      <c r="E307" s="35"/>
      <c r="F307" s="33"/>
    </row>
    <row r="308" spans="1:7" ht="11.25" customHeight="1" thickBot="1" x14ac:dyDescent="0.25"/>
    <row r="309" spans="1:7" ht="24.75" customHeight="1" thickBot="1" x14ac:dyDescent="0.25">
      <c r="A309" s="24" t="s">
        <v>222</v>
      </c>
      <c r="B309" s="28"/>
      <c r="C309" s="28"/>
      <c r="D309" s="29"/>
      <c r="E309" s="30"/>
      <c r="F309" s="22">
        <f>F298+F306</f>
        <v>36848.081878953926</v>
      </c>
      <c r="G309" s="80"/>
    </row>
    <row r="310" spans="1:7" ht="14.25" x14ac:dyDescent="0.2">
      <c r="A310" s="8"/>
      <c r="B310" s="8"/>
      <c r="C310" s="8"/>
      <c r="D310" s="36"/>
      <c r="E310" s="36"/>
    </row>
    <row r="311" spans="1:7" ht="16.149999999999999" hidden="1" customHeight="1" x14ac:dyDescent="0.2">
      <c r="A311" s="94" t="s">
        <v>218</v>
      </c>
      <c r="B311" s="16"/>
      <c r="C311" s="16"/>
      <c r="D311" s="286" t="e">
        <f>#REF!</f>
        <v>#REF!</v>
      </c>
      <c r="E311" s="287" t="s">
        <v>24</v>
      </c>
    </row>
    <row r="312" spans="1:7" ht="13.5" hidden="1" thickBot="1" x14ac:dyDescent="0.25"/>
    <row r="313" spans="1:7" ht="25.5" hidden="1" customHeight="1" thickBot="1" x14ac:dyDescent="0.25">
      <c r="A313" s="24" t="s">
        <v>65</v>
      </c>
      <c r="B313" s="25"/>
      <c r="C313" s="25"/>
      <c r="D313" s="26"/>
      <c r="E313" s="237" t="s">
        <v>31</v>
      </c>
      <c r="F313" s="238" t="str">
        <f>IFERROR(F309/D311,"-")</f>
        <v>-</v>
      </c>
    </row>
    <row r="314" spans="1:7" ht="12.6" customHeight="1" x14ac:dyDescent="0.2">
      <c r="A314" s="34"/>
      <c r="B314" s="34"/>
      <c r="C314" s="34"/>
      <c r="D314" s="35"/>
      <c r="E314" s="35"/>
      <c r="F314" s="35"/>
    </row>
    <row r="315" spans="1:7" s="4" customFormat="1" ht="9.75" customHeight="1" x14ac:dyDescent="0.2">
      <c r="A315" s="39" t="s">
        <v>304</v>
      </c>
      <c r="B315" s="331">
        <f>1-B316</f>
        <v>0.58000000000000007</v>
      </c>
      <c r="C315" s="10">
        <f>F309-C316</f>
        <v>21371.887489793276</v>
      </c>
      <c r="D315" s="10"/>
      <c r="E315" s="10"/>
      <c r="F315" s="10"/>
    </row>
    <row r="316" spans="1:7" s="4" customFormat="1" ht="9.75" customHeight="1" x14ac:dyDescent="0.2">
      <c r="A316" s="39" t="s">
        <v>303</v>
      </c>
      <c r="B316" s="331">
        <v>0.42</v>
      </c>
      <c r="C316" s="10">
        <f>F309*B316</f>
        <v>15476.194389160648</v>
      </c>
      <c r="D316" s="10"/>
      <c r="E316" s="10"/>
      <c r="F316" s="10"/>
    </row>
    <row r="317" spans="1:7" s="4" customFormat="1" ht="9.75" customHeight="1" x14ac:dyDescent="0.2">
      <c r="A317" s="39"/>
      <c r="B317" s="10"/>
      <c r="C317" s="10"/>
      <c r="D317" s="10">
        <f>D316/12</f>
        <v>0</v>
      </c>
      <c r="E317" s="10"/>
      <c r="F317" s="10"/>
    </row>
    <row r="347" spans="4:6" ht="9" customHeight="1" x14ac:dyDescent="0.2">
      <c r="D347" s="9"/>
      <c r="E347" s="9"/>
      <c r="F347" s="9"/>
    </row>
  </sheetData>
  <mergeCells count="7">
    <mergeCell ref="A46:D46"/>
    <mergeCell ref="A21:C21"/>
    <mergeCell ref="A6:F6"/>
    <mergeCell ref="A7:F7"/>
    <mergeCell ref="A38:D38"/>
    <mergeCell ref="A9:F9"/>
    <mergeCell ref="A37:E37"/>
  </mergeCells>
  <phoneticPr fontId="17" type="noConversion"/>
  <pageMargins left="0.9055118110236221" right="0.51181102362204722" top="0.74803149606299213" bottom="0.74803149606299213" header="0.31496062992125984" footer="0.31496062992125984"/>
  <pageSetup paperSize="9" scale="75" fitToHeight="4" orientation="portrait" r:id="rId1"/>
  <headerFooter alignWithMargins="0">
    <oddFooter>&amp;R&amp;P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2" workbookViewId="0">
      <selection activeCell="E25" sqref="E25"/>
    </sheetView>
  </sheetViews>
  <sheetFormatPr defaultColWidth="9.140625" defaultRowHeight="12.75" x14ac:dyDescent="0.2"/>
  <cols>
    <col min="1" max="1" width="7.7109375" style="1" customWidth="1"/>
    <col min="2" max="2" width="37.5703125" style="1" customWidth="1"/>
    <col min="3" max="3" width="18.7109375" style="1" customWidth="1"/>
    <col min="4" max="4" width="37.28515625" style="144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197</v>
      </c>
    </row>
    <row r="2" spans="1:12" x14ac:dyDescent="0.2">
      <c r="A2" s="126" t="s">
        <v>239</v>
      </c>
    </row>
    <row r="3" spans="1:12" ht="13.5" thickBot="1" x14ac:dyDescent="0.25">
      <c r="A3" s="99" t="s">
        <v>290</v>
      </c>
    </row>
    <row r="4" spans="1:12" ht="18" x14ac:dyDescent="0.2">
      <c r="A4" s="354" t="s">
        <v>225</v>
      </c>
      <c r="B4" s="355"/>
      <c r="C4" s="356"/>
      <c r="D4" s="136"/>
      <c r="E4" s="136"/>
      <c r="F4" s="136"/>
    </row>
    <row r="5" spans="1:12" ht="14.25" x14ac:dyDescent="0.2">
      <c r="A5" s="157" t="s">
        <v>134</v>
      </c>
      <c r="B5" s="158" t="s">
        <v>135</v>
      </c>
      <c r="C5" s="159" t="s">
        <v>136</v>
      </c>
      <c r="D5" s="160"/>
    </row>
    <row r="6" spans="1:12" ht="14.25" x14ac:dyDescent="0.2">
      <c r="A6" s="157" t="s">
        <v>137</v>
      </c>
      <c r="B6" s="158" t="s">
        <v>37</v>
      </c>
      <c r="C6" s="161">
        <v>0.2</v>
      </c>
      <c r="D6" s="160"/>
      <c r="F6" s="144"/>
      <c r="G6" s="144"/>
      <c r="H6" s="144"/>
      <c r="I6" s="144"/>
      <c r="J6" s="144"/>
      <c r="K6" s="144"/>
      <c r="L6" s="144"/>
    </row>
    <row r="7" spans="1:12" ht="14.25" x14ac:dyDescent="0.2">
      <c r="A7" s="157" t="s">
        <v>138</v>
      </c>
      <c r="B7" s="158" t="s">
        <v>139</v>
      </c>
      <c r="C7" s="161">
        <v>1.4999999999999999E-2</v>
      </c>
      <c r="D7" s="160"/>
      <c r="F7" s="144"/>
      <c r="G7" s="144"/>
      <c r="H7" s="144"/>
      <c r="I7" s="144"/>
      <c r="J7" s="144"/>
      <c r="K7" s="144"/>
      <c r="L7" s="144"/>
    </row>
    <row r="8" spans="1:12" ht="14.25" x14ac:dyDescent="0.2">
      <c r="A8" s="157" t="s">
        <v>140</v>
      </c>
      <c r="B8" s="158" t="s">
        <v>141</v>
      </c>
      <c r="C8" s="161">
        <v>0.01</v>
      </c>
      <c r="D8" s="160"/>
      <c r="F8" s="144"/>
      <c r="G8" s="144"/>
      <c r="H8" s="144"/>
      <c r="I8" s="144"/>
      <c r="J8" s="144"/>
      <c r="K8" s="144"/>
      <c r="L8" s="144"/>
    </row>
    <row r="9" spans="1:12" ht="14.25" x14ac:dyDescent="0.2">
      <c r="A9" s="157" t="s">
        <v>142</v>
      </c>
      <c r="B9" s="158" t="s">
        <v>143</v>
      </c>
      <c r="C9" s="161">
        <v>2E-3</v>
      </c>
      <c r="D9" s="160"/>
      <c r="F9" s="144"/>
      <c r="G9" s="144"/>
      <c r="H9" s="144"/>
      <c r="I9" s="144"/>
      <c r="J9" s="144"/>
      <c r="K9" s="144"/>
      <c r="L9" s="144"/>
    </row>
    <row r="10" spans="1:12" ht="14.25" x14ac:dyDescent="0.2">
      <c r="A10" s="157" t="s">
        <v>144</v>
      </c>
      <c r="B10" s="158" t="s">
        <v>145</v>
      </c>
      <c r="C10" s="161">
        <v>6.0000000000000001E-3</v>
      </c>
      <c r="D10" s="160"/>
      <c r="F10" s="144"/>
      <c r="G10" s="144"/>
      <c r="H10" s="144"/>
      <c r="I10" s="144"/>
      <c r="J10" s="144"/>
      <c r="K10" s="144"/>
      <c r="L10" s="144"/>
    </row>
    <row r="11" spans="1:12" ht="14.25" x14ac:dyDescent="0.2">
      <c r="A11" s="157" t="s">
        <v>146</v>
      </c>
      <c r="B11" s="158" t="s">
        <v>147</v>
      </c>
      <c r="C11" s="161">
        <v>2.5000000000000001E-2</v>
      </c>
      <c r="D11" s="160"/>
      <c r="F11" s="144"/>
      <c r="G11" s="144"/>
      <c r="H11" s="144"/>
      <c r="I11" s="144"/>
      <c r="J11" s="144"/>
      <c r="K11" s="144"/>
      <c r="L11" s="144"/>
    </row>
    <row r="12" spans="1:12" ht="14.25" x14ac:dyDescent="0.2">
      <c r="A12" s="157" t="s">
        <v>148</v>
      </c>
      <c r="B12" s="158" t="s">
        <v>149</v>
      </c>
      <c r="C12" s="161">
        <v>0.03</v>
      </c>
      <c r="D12" s="160"/>
      <c r="F12" s="144"/>
      <c r="G12" s="144"/>
      <c r="H12" s="144"/>
      <c r="I12" s="144"/>
      <c r="J12" s="144"/>
      <c r="K12" s="144"/>
      <c r="L12" s="144"/>
    </row>
    <row r="13" spans="1:12" ht="14.25" x14ac:dyDescent="0.2">
      <c r="A13" s="157" t="s">
        <v>150</v>
      </c>
      <c r="B13" s="158" t="s">
        <v>38</v>
      </c>
      <c r="C13" s="161">
        <v>0.08</v>
      </c>
      <c r="D13" s="162"/>
      <c r="F13" s="144"/>
      <c r="G13" s="144"/>
      <c r="H13" s="144"/>
      <c r="I13" s="144"/>
      <c r="J13" s="144"/>
      <c r="K13" s="144"/>
      <c r="L13" s="144"/>
    </row>
    <row r="14" spans="1:12" ht="15" x14ac:dyDescent="0.2">
      <c r="A14" s="157" t="s">
        <v>151</v>
      </c>
      <c r="B14" s="163" t="s">
        <v>152</v>
      </c>
      <c r="C14" s="164">
        <f>SUM(C6:C13)</f>
        <v>0.36800000000000005</v>
      </c>
      <c r="D14" s="162"/>
      <c r="F14" s="144"/>
      <c r="G14" s="144"/>
      <c r="H14" s="144"/>
      <c r="I14" s="144"/>
      <c r="J14" s="144"/>
      <c r="K14" s="144"/>
      <c r="L14" s="144"/>
    </row>
    <row r="15" spans="1:12" ht="15" x14ac:dyDescent="0.2">
      <c r="A15" s="165"/>
      <c r="B15" s="166"/>
      <c r="C15" s="167"/>
      <c r="D15" s="162"/>
      <c r="F15" s="144"/>
      <c r="G15" s="144"/>
      <c r="H15" s="144"/>
      <c r="I15" s="144"/>
      <c r="J15" s="144"/>
      <c r="K15" s="144"/>
      <c r="L15" s="144"/>
    </row>
    <row r="16" spans="1:12" ht="14.25" x14ac:dyDescent="0.2">
      <c r="A16" s="157" t="s">
        <v>153</v>
      </c>
      <c r="B16" s="168" t="s">
        <v>154</v>
      </c>
      <c r="C16" s="161">
        <f>ROUND(IF('3.CAGED'!C39&gt;24,(1-12/'3.CAGED'!C39)*0.1111,0.1111-C25),4)</f>
        <v>5.74E-2</v>
      </c>
      <c r="D16" s="162"/>
      <c r="F16" s="144"/>
      <c r="G16" s="144"/>
      <c r="H16" s="144"/>
      <c r="I16" s="144"/>
      <c r="J16" s="144"/>
      <c r="K16" s="144"/>
      <c r="L16" s="144"/>
    </row>
    <row r="17" spans="1:12" ht="14.25" x14ac:dyDescent="0.2">
      <c r="A17" s="157" t="s">
        <v>155</v>
      </c>
      <c r="B17" s="168" t="s">
        <v>156</v>
      </c>
      <c r="C17" s="161">
        <f>ROUND('3.CAGED'!C33/'3.CAGED'!C30,4)</f>
        <v>8.3299999999999999E-2</v>
      </c>
      <c r="D17" s="162"/>
      <c r="F17" s="144"/>
      <c r="G17" s="144"/>
      <c r="H17" s="144"/>
      <c r="I17" s="144"/>
      <c r="J17" s="144"/>
      <c r="K17" s="144"/>
      <c r="L17" s="144"/>
    </row>
    <row r="18" spans="1:12" ht="14.25" x14ac:dyDescent="0.2">
      <c r="A18" s="157" t="s">
        <v>217</v>
      </c>
      <c r="B18" s="168" t="s">
        <v>158</v>
      </c>
      <c r="C18" s="161">
        <v>5.9999999999999995E-4</v>
      </c>
      <c r="D18" s="162"/>
      <c r="F18" s="144"/>
      <c r="G18" s="144"/>
      <c r="H18" s="144"/>
      <c r="I18" s="144"/>
      <c r="J18" s="144"/>
      <c r="K18" s="144"/>
      <c r="L18" s="144"/>
    </row>
    <row r="19" spans="1:12" ht="14.25" x14ac:dyDescent="0.2">
      <c r="A19" s="157" t="s">
        <v>157</v>
      </c>
      <c r="B19" s="168" t="s">
        <v>160</v>
      </c>
      <c r="C19" s="161">
        <v>8.2000000000000007E-3</v>
      </c>
      <c r="D19" s="162"/>
      <c r="F19" s="144"/>
      <c r="G19" s="144"/>
      <c r="H19" s="144"/>
      <c r="I19" s="144"/>
      <c r="J19" s="144"/>
      <c r="K19" s="144"/>
      <c r="L19" s="144"/>
    </row>
    <row r="20" spans="1:12" ht="14.25" x14ac:dyDescent="0.2">
      <c r="A20" s="157" t="s">
        <v>159</v>
      </c>
      <c r="B20" s="168" t="s">
        <v>162</v>
      </c>
      <c r="C20" s="161">
        <v>3.0999999999999999E-3</v>
      </c>
      <c r="D20" s="162"/>
      <c r="F20" s="144"/>
      <c r="G20" s="144"/>
      <c r="H20" s="144"/>
      <c r="I20" s="144"/>
      <c r="J20" s="144"/>
      <c r="K20" s="144"/>
      <c r="L20" s="144"/>
    </row>
    <row r="21" spans="1:12" ht="14.25" x14ac:dyDescent="0.2">
      <c r="A21" s="157" t="s">
        <v>161</v>
      </c>
      <c r="B21" s="168" t="s">
        <v>163</v>
      </c>
      <c r="C21" s="161">
        <v>1.66E-2</v>
      </c>
      <c r="D21" s="162"/>
      <c r="F21" s="144"/>
      <c r="G21" s="144"/>
      <c r="H21" s="144"/>
      <c r="I21" s="144"/>
      <c r="J21" s="144"/>
      <c r="K21" s="144"/>
      <c r="L21" s="144"/>
    </row>
    <row r="22" spans="1:12" ht="15" x14ac:dyDescent="0.2">
      <c r="A22" s="157" t="s">
        <v>164</v>
      </c>
      <c r="B22" s="163" t="s">
        <v>165</v>
      </c>
      <c r="C22" s="164">
        <f>SUM(C16:C21)</f>
        <v>0.16919999999999999</v>
      </c>
      <c r="D22" s="169"/>
      <c r="F22" s="144"/>
      <c r="G22" s="144"/>
      <c r="H22" s="144"/>
      <c r="I22" s="144"/>
      <c r="J22" s="144"/>
      <c r="K22" s="144"/>
      <c r="L22" s="144"/>
    </row>
    <row r="23" spans="1:12" ht="15" x14ac:dyDescent="0.2">
      <c r="A23" s="165"/>
      <c r="B23" s="166"/>
      <c r="C23" s="167"/>
      <c r="D23" s="169"/>
      <c r="F23" s="144"/>
      <c r="G23" s="144"/>
      <c r="H23" s="144"/>
      <c r="I23" s="144"/>
      <c r="J23" s="144"/>
      <c r="K23" s="144"/>
      <c r="L23" s="144"/>
    </row>
    <row r="24" spans="1:12" ht="14.25" x14ac:dyDescent="0.2">
      <c r="A24" s="157" t="s">
        <v>166</v>
      </c>
      <c r="B24" s="158" t="s">
        <v>167</v>
      </c>
      <c r="C24" s="161">
        <f>ROUND(('3.CAGED'!C38) *'3.CAGED'!C29/'3.CAGED'!C30,4)</f>
        <v>3.9E-2</v>
      </c>
      <c r="D24" s="162"/>
      <c r="E24" s="170"/>
      <c r="F24" s="144"/>
      <c r="G24" s="144"/>
      <c r="H24" s="144"/>
      <c r="I24" s="144"/>
      <c r="J24" s="144"/>
      <c r="K24" s="144"/>
      <c r="L24" s="144"/>
    </row>
    <row r="25" spans="1:12" ht="14.25" x14ac:dyDescent="0.2">
      <c r="A25" s="157" t="s">
        <v>216</v>
      </c>
      <c r="B25" s="158" t="s">
        <v>169</v>
      </c>
      <c r="C25" s="161">
        <f>ROUND(IF('3.CAGED'!C39&gt;12,12/'3.CAGED'!C39*0.1111,0.1111),4)</f>
        <v>5.3699999999999998E-2</v>
      </c>
      <c r="D25" s="162"/>
      <c r="F25" s="144"/>
      <c r="G25" s="144"/>
      <c r="H25" s="171"/>
      <c r="I25" s="144"/>
      <c r="J25" s="144"/>
      <c r="K25" s="144"/>
      <c r="L25" s="144"/>
    </row>
    <row r="26" spans="1:12" ht="14.25" x14ac:dyDescent="0.2">
      <c r="A26" s="157" t="s">
        <v>168</v>
      </c>
      <c r="B26" s="158" t="s">
        <v>171</v>
      </c>
      <c r="C26" s="161">
        <f>ROUND(('3.CAGED'!C32+'3.CAGED'!C31)/360*C24,4)</f>
        <v>4.3E-3</v>
      </c>
      <c r="D26" s="162"/>
      <c r="F26" s="144"/>
      <c r="G26" s="144"/>
      <c r="H26" s="144"/>
      <c r="I26" s="144"/>
      <c r="J26" s="144"/>
      <c r="K26" s="144"/>
      <c r="L26" s="144"/>
    </row>
    <row r="27" spans="1:12" ht="14.25" x14ac:dyDescent="0.2">
      <c r="A27" s="157" t="s">
        <v>170</v>
      </c>
      <c r="B27" s="158" t="s">
        <v>173</v>
      </c>
      <c r="C27" s="161">
        <f>ROUND(('3.CAGED'!C30+'3.CAGED'!C31+'3.CAGED'!C33)/'3.CAGED'!C28*'3.CAGED'!C35*'3.CAGED'!C36*'3.CAGED'!C29/'3.CAGED'!C30,4)</f>
        <v>3.5900000000000001E-2</v>
      </c>
      <c r="D27" s="162"/>
      <c r="F27" s="144"/>
      <c r="G27" s="172"/>
      <c r="H27" s="144"/>
      <c r="I27" s="144"/>
      <c r="J27" s="144"/>
      <c r="K27" s="144"/>
      <c r="L27" s="144"/>
    </row>
    <row r="28" spans="1:12" ht="14.25" x14ac:dyDescent="0.2">
      <c r="A28" s="157" t="s">
        <v>172</v>
      </c>
      <c r="B28" s="158" t="s">
        <v>174</v>
      </c>
      <c r="C28" s="161">
        <f>ROUND(('3.CAGED'!C32/'3.CAGED'!C30)*'3.CAGED'!C29/12,4)</f>
        <v>2.7000000000000001E-3</v>
      </c>
      <c r="D28" s="162"/>
      <c r="F28" s="144"/>
      <c r="G28" s="144"/>
      <c r="H28" s="144"/>
      <c r="I28" s="144"/>
      <c r="J28" s="144"/>
      <c r="K28" s="144"/>
      <c r="L28" s="144"/>
    </row>
    <row r="29" spans="1:12" ht="15" x14ac:dyDescent="0.2">
      <c r="A29" s="157" t="s">
        <v>175</v>
      </c>
      <c r="B29" s="163" t="s">
        <v>176</v>
      </c>
      <c r="C29" s="164">
        <f>SUM(C24:C28)</f>
        <v>0.13560000000000003</v>
      </c>
      <c r="D29" s="169"/>
      <c r="F29" s="144"/>
      <c r="G29" s="144"/>
      <c r="H29" s="144"/>
      <c r="I29" s="144"/>
      <c r="J29" s="144"/>
      <c r="K29" s="144"/>
      <c r="L29" s="144"/>
    </row>
    <row r="30" spans="1:12" ht="15" x14ac:dyDescent="0.2">
      <c r="A30" s="165"/>
      <c r="B30" s="166"/>
      <c r="C30" s="167"/>
      <c r="D30" s="169"/>
      <c r="F30" s="144"/>
      <c r="G30" s="144"/>
      <c r="H30" s="144"/>
      <c r="I30" s="144"/>
      <c r="J30" s="144"/>
      <c r="K30" s="144"/>
      <c r="L30" s="144"/>
    </row>
    <row r="31" spans="1:12" ht="14.25" x14ac:dyDescent="0.2">
      <c r="A31" s="157" t="s">
        <v>177</v>
      </c>
      <c r="B31" s="158" t="s">
        <v>178</v>
      </c>
      <c r="C31" s="161">
        <f>ROUND(C14*C22,4)</f>
        <v>6.2300000000000001E-2</v>
      </c>
      <c r="D31" s="162"/>
      <c r="F31" s="144"/>
      <c r="G31" s="144"/>
      <c r="H31" s="144"/>
      <c r="I31" s="144"/>
      <c r="J31" s="144"/>
      <c r="K31" s="144"/>
      <c r="L31" s="144"/>
    </row>
    <row r="32" spans="1:12" ht="28.5" x14ac:dyDescent="0.2">
      <c r="A32" s="157" t="s">
        <v>179</v>
      </c>
      <c r="B32" s="173" t="s">
        <v>180</v>
      </c>
      <c r="C32" s="161">
        <f>ROUND((C24*C14),4)</f>
        <v>1.44E-2</v>
      </c>
      <c r="D32" s="162"/>
      <c r="F32" s="144"/>
      <c r="G32" s="144"/>
      <c r="H32" s="144"/>
      <c r="I32" s="144"/>
      <c r="J32" s="144"/>
      <c r="K32" s="144"/>
      <c r="L32" s="144"/>
    </row>
    <row r="33" spans="1:12" ht="15" x14ac:dyDescent="0.2">
      <c r="A33" s="157" t="s">
        <v>181</v>
      </c>
      <c r="B33" s="163" t="s">
        <v>182</v>
      </c>
      <c r="C33" s="164">
        <f>SUM(C31:C32)</f>
        <v>7.6700000000000004E-2</v>
      </c>
      <c r="D33" s="174"/>
      <c r="F33" s="144"/>
      <c r="G33" s="144"/>
      <c r="H33" s="144"/>
      <c r="I33" s="144"/>
      <c r="J33" s="144"/>
      <c r="K33" s="144"/>
      <c r="L33" s="144"/>
    </row>
    <row r="34" spans="1:12" ht="15.75" thickBot="1" x14ac:dyDescent="0.25">
      <c r="A34" s="175"/>
      <c r="B34" s="176" t="s">
        <v>183</v>
      </c>
      <c r="C34" s="177">
        <f>C33+C29+C22+C14</f>
        <v>0.74950000000000006</v>
      </c>
      <c r="D34" s="174"/>
      <c r="F34" s="144"/>
      <c r="G34" s="144"/>
      <c r="H34" s="144"/>
      <c r="I34" s="144"/>
      <c r="J34" s="144"/>
      <c r="K34" s="144"/>
      <c r="L34" s="144"/>
    </row>
    <row r="35" spans="1:12" ht="15" x14ac:dyDescent="0.2">
      <c r="A35" s="162"/>
      <c r="B35" s="178"/>
      <c r="C35" s="179"/>
      <c r="D35" s="180"/>
      <c r="F35" s="144"/>
      <c r="G35" s="144"/>
      <c r="H35" s="144"/>
      <c r="I35" s="144"/>
      <c r="J35" s="144"/>
      <c r="K35" s="144"/>
      <c r="L35" s="144"/>
    </row>
    <row r="36" spans="1:12" ht="14.25" x14ac:dyDescent="0.2">
      <c r="A36" s="162"/>
      <c r="B36" s="162"/>
      <c r="C36" s="181"/>
      <c r="D36" s="182"/>
      <c r="F36" s="144"/>
      <c r="G36" s="144"/>
      <c r="H36" s="144"/>
      <c r="I36" s="144"/>
      <c r="J36" s="144"/>
      <c r="K36" s="144"/>
      <c r="L36" s="144"/>
    </row>
    <row r="37" spans="1:12" ht="14.25" x14ac:dyDescent="0.2">
      <c r="A37" s="160"/>
      <c r="B37" s="160"/>
      <c r="C37" s="183"/>
      <c r="D37" s="160"/>
      <c r="F37" s="144"/>
      <c r="G37" s="144"/>
      <c r="H37" s="144"/>
      <c r="I37" s="144"/>
      <c r="J37" s="144"/>
      <c r="K37" s="144"/>
      <c r="L37" s="144"/>
    </row>
    <row r="38" spans="1:12" ht="14.25" x14ac:dyDescent="0.2">
      <c r="A38" s="160"/>
      <c r="B38" s="160"/>
      <c r="C38" s="183"/>
      <c r="D38" s="160"/>
      <c r="F38" s="144"/>
      <c r="G38" s="144"/>
      <c r="H38" s="144"/>
      <c r="I38" s="144"/>
      <c r="J38" s="144"/>
      <c r="K38" s="144"/>
      <c r="L38" s="144"/>
    </row>
    <row r="39" spans="1:12" ht="14.25" x14ac:dyDescent="0.2">
      <c r="A39" s="160"/>
      <c r="B39" s="160"/>
      <c r="C39" s="183"/>
      <c r="D39" s="160"/>
      <c r="F39" s="144"/>
      <c r="G39" s="144"/>
      <c r="H39" s="144"/>
      <c r="I39" s="144"/>
      <c r="J39" s="144"/>
      <c r="K39" s="144"/>
      <c r="L39" s="144"/>
    </row>
    <row r="40" spans="1:12" ht="15" x14ac:dyDescent="0.2">
      <c r="A40" s="160"/>
      <c r="B40" s="184"/>
      <c r="C40" s="185"/>
      <c r="D40" s="160"/>
      <c r="F40" s="144"/>
      <c r="G40" s="144"/>
      <c r="H40" s="144"/>
      <c r="I40" s="144"/>
      <c r="J40" s="144"/>
      <c r="K40" s="144"/>
      <c r="L40" s="144"/>
    </row>
    <row r="41" spans="1:12" ht="15" x14ac:dyDescent="0.2">
      <c r="A41" s="174"/>
      <c r="B41" s="184"/>
      <c r="C41" s="185"/>
      <c r="D41" s="174"/>
      <c r="E41" s="144"/>
      <c r="F41" s="144"/>
      <c r="G41" s="144"/>
      <c r="H41" s="144"/>
      <c r="I41" s="144"/>
      <c r="J41" s="144"/>
      <c r="K41" s="144"/>
      <c r="L41" s="144"/>
    </row>
    <row r="42" spans="1:12" ht="16.5" x14ac:dyDescent="0.2">
      <c r="A42" s="186"/>
      <c r="B42" s="144"/>
      <c r="C42" s="144"/>
      <c r="E42" s="144"/>
      <c r="F42" s="144"/>
      <c r="G42" s="144"/>
      <c r="H42" s="144"/>
      <c r="I42" s="144"/>
      <c r="J42" s="144"/>
      <c r="K42" s="144"/>
      <c r="L42" s="144"/>
    </row>
    <row r="43" spans="1:12" x14ac:dyDescent="0.2">
      <c r="A43" s="187"/>
      <c r="B43" s="188"/>
      <c r="C43" s="188"/>
      <c r="E43" s="144"/>
      <c r="F43" s="144"/>
      <c r="G43" s="144"/>
      <c r="H43" s="144"/>
      <c r="I43" s="144"/>
      <c r="J43" s="144"/>
      <c r="K43" s="144"/>
      <c r="L43" s="144"/>
    </row>
    <row r="44" spans="1:12" ht="14.25" x14ac:dyDescent="0.2">
      <c r="A44" s="160"/>
      <c r="B44" s="189"/>
      <c r="C44" s="188"/>
      <c r="E44" s="144"/>
      <c r="F44" s="144"/>
      <c r="G44" s="144"/>
      <c r="H44" s="144"/>
      <c r="I44" s="144"/>
      <c r="J44" s="144"/>
      <c r="K44" s="144"/>
      <c r="L44" s="144"/>
    </row>
    <row r="45" spans="1:12" ht="14.25" x14ac:dyDescent="0.2">
      <c r="A45" s="160"/>
      <c r="B45" s="189"/>
      <c r="C45" s="160"/>
      <c r="E45" s="144"/>
      <c r="F45" s="144"/>
      <c r="G45" s="144"/>
      <c r="H45" s="144"/>
      <c r="I45" s="144"/>
      <c r="J45" s="144"/>
      <c r="K45" s="144"/>
      <c r="L45" s="144"/>
    </row>
    <row r="46" spans="1:12" ht="14.25" x14ac:dyDescent="0.2">
      <c r="A46" s="160"/>
      <c r="B46" s="183"/>
      <c r="C46" s="188"/>
      <c r="E46" s="144"/>
      <c r="F46" s="144"/>
      <c r="G46" s="144"/>
      <c r="H46" s="144"/>
      <c r="I46" s="144"/>
      <c r="J46" s="144"/>
      <c r="K46" s="144"/>
      <c r="L46" s="144"/>
    </row>
    <row r="47" spans="1:12" ht="14.25" x14ac:dyDescent="0.2">
      <c r="A47" s="160"/>
      <c r="B47" s="189"/>
      <c r="C47" s="160"/>
      <c r="E47" s="144"/>
      <c r="F47" s="144"/>
      <c r="G47" s="144"/>
      <c r="H47" s="144"/>
      <c r="I47" s="144"/>
      <c r="J47" s="144"/>
      <c r="K47" s="144"/>
      <c r="L47" s="144"/>
    </row>
    <row r="48" spans="1:12" ht="14.25" x14ac:dyDescent="0.2">
      <c r="A48" s="160"/>
      <c r="B48" s="183"/>
      <c r="C48" s="188"/>
      <c r="E48" s="144"/>
      <c r="F48" s="144"/>
      <c r="G48" s="144"/>
      <c r="H48" s="144"/>
      <c r="I48" s="144"/>
      <c r="J48" s="144"/>
      <c r="K48" s="144"/>
      <c r="L48" s="144"/>
    </row>
    <row r="49" spans="1:12" ht="14.25" x14ac:dyDescent="0.2">
      <c r="A49" s="160"/>
      <c r="B49" s="189"/>
      <c r="C49" s="160"/>
      <c r="E49" s="144"/>
      <c r="F49" s="144"/>
      <c r="G49" s="144"/>
      <c r="H49" s="144"/>
      <c r="I49" s="144"/>
      <c r="J49" s="144"/>
      <c r="K49" s="144"/>
      <c r="L49" s="144"/>
    </row>
    <row r="50" spans="1:12" ht="14.25" x14ac:dyDescent="0.2">
      <c r="A50" s="160"/>
      <c r="B50" s="183"/>
      <c r="C50" s="188"/>
      <c r="E50" s="144"/>
      <c r="F50" s="144"/>
      <c r="G50" s="144"/>
      <c r="H50" s="144"/>
      <c r="I50" s="144"/>
      <c r="J50" s="144"/>
      <c r="K50" s="144"/>
      <c r="L50" s="144"/>
    </row>
    <row r="51" spans="1:12" ht="14.25" x14ac:dyDescent="0.2">
      <c r="A51" s="160"/>
      <c r="B51" s="189"/>
      <c r="C51" s="160"/>
      <c r="E51" s="144"/>
      <c r="F51" s="144"/>
      <c r="G51" s="144"/>
      <c r="H51" s="144"/>
      <c r="I51" s="144"/>
      <c r="J51" s="144"/>
      <c r="K51" s="144"/>
      <c r="L51" s="144"/>
    </row>
    <row r="52" spans="1:12" ht="14.25" x14ac:dyDescent="0.2">
      <c r="A52" s="160"/>
      <c r="B52" s="183"/>
      <c r="C52" s="188"/>
      <c r="E52" s="144"/>
      <c r="F52" s="144"/>
      <c r="G52" s="144"/>
      <c r="H52" s="144"/>
      <c r="I52" s="144"/>
      <c r="J52" s="144"/>
      <c r="K52" s="144"/>
      <c r="L52" s="144"/>
    </row>
    <row r="53" spans="1:12" ht="16.5" x14ac:dyDescent="0.2">
      <c r="A53" s="186"/>
      <c r="B53" s="144"/>
      <c r="C53" s="144"/>
      <c r="E53" s="144"/>
      <c r="F53" s="144"/>
      <c r="G53" s="144"/>
      <c r="H53" s="144"/>
      <c r="I53" s="144"/>
      <c r="J53" s="144"/>
      <c r="K53" s="144"/>
      <c r="L53" s="144"/>
    </row>
    <row r="54" spans="1:12" x14ac:dyDescent="0.2">
      <c r="A54" s="144"/>
      <c r="B54" s="144"/>
      <c r="C54" s="144"/>
      <c r="E54" s="144"/>
      <c r="F54" s="144"/>
      <c r="G54" s="144"/>
      <c r="H54" s="144"/>
      <c r="I54" s="144"/>
      <c r="J54" s="144"/>
      <c r="K54" s="144"/>
      <c r="L54" s="144"/>
    </row>
    <row r="55" spans="1:12" x14ac:dyDescent="0.2">
      <c r="A55" s="144"/>
      <c r="B55" s="144"/>
      <c r="C55" s="144"/>
      <c r="E55" s="144"/>
      <c r="F55" s="144"/>
      <c r="G55" s="144"/>
      <c r="H55" s="144"/>
      <c r="I55" s="144"/>
      <c r="J55" s="144"/>
      <c r="K55" s="144"/>
      <c r="L55" s="144"/>
    </row>
    <row r="56" spans="1:12" x14ac:dyDescent="0.2">
      <c r="A56" s="190"/>
      <c r="B56" s="144"/>
      <c r="C56" s="144"/>
      <c r="E56" s="144"/>
      <c r="F56" s="144"/>
      <c r="G56" s="144"/>
      <c r="H56" s="144"/>
      <c r="I56" s="144"/>
      <c r="J56" s="144"/>
      <c r="K56" s="144"/>
      <c r="L56" s="144"/>
    </row>
    <row r="57" spans="1:12" x14ac:dyDescent="0.2">
      <c r="A57" s="144"/>
      <c r="B57" s="144"/>
      <c r="C57" s="144"/>
      <c r="E57" s="144"/>
    </row>
    <row r="58" spans="1:12" x14ac:dyDescent="0.2">
      <c r="A58" s="144"/>
      <c r="B58" s="144"/>
      <c r="C58" s="144"/>
      <c r="E58" s="144"/>
    </row>
    <row r="59" spans="1:12" x14ac:dyDescent="0.2">
      <c r="A59" s="144"/>
      <c r="B59" s="144"/>
      <c r="C59" s="144"/>
      <c r="E59" s="144"/>
    </row>
    <row r="60" spans="1:12" x14ac:dyDescent="0.2">
      <c r="A60" s="144"/>
      <c r="B60" s="144"/>
      <c r="C60" s="144"/>
      <c r="E60" s="144"/>
    </row>
    <row r="61" spans="1:12" x14ac:dyDescent="0.2">
      <c r="A61" s="144"/>
      <c r="B61" s="144"/>
      <c r="C61" s="144"/>
      <c r="E61" s="144"/>
    </row>
    <row r="62" spans="1:12" x14ac:dyDescent="0.2">
      <c r="A62" s="144"/>
      <c r="B62" s="144"/>
      <c r="C62" s="144"/>
      <c r="E62" s="144"/>
    </row>
    <row r="63" spans="1:12" x14ac:dyDescent="0.2">
      <c r="A63" s="144"/>
      <c r="B63" s="144"/>
      <c r="C63" s="144"/>
      <c r="E63" s="144"/>
    </row>
    <row r="64" spans="1:12" x14ac:dyDescent="0.2">
      <c r="A64" s="144"/>
      <c r="B64" s="144"/>
      <c r="C64" s="144"/>
      <c r="E64" s="144"/>
    </row>
    <row r="65" spans="1:5" x14ac:dyDescent="0.2">
      <c r="A65" s="144"/>
      <c r="B65" s="144"/>
      <c r="C65" s="144"/>
      <c r="E65" s="144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99" t="s">
        <v>233</v>
      </c>
    </row>
    <row r="3" spans="1:3" x14ac:dyDescent="0.2">
      <c r="A3" s="1" t="s">
        <v>205</v>
      </c>
    </row>
    <row r="4" spans="1:3" x14ac:dyDescent="0.2">
      <c r="A4" s="259" t="s">
        <v>201</v>
      </c>
    </row>
    <row r="5" spans="1:3" ht="25.5" customHeight="1" x14ac:dyDescent="0.2">
      <c r="A5" s="360" t="s">
        <v>243</v>
      </c>
      <c r="B5" s="359"/>
      <c r="C5" s="359"/>
    </row>
    <row r="6" spans="1:3" x14ac:dyDescent="0.2">
      <c r="A6" s="1" t="s">
        <v>202</v>
      </c>
    </row>
    <row r="7" spans="1:3" ht="26.25" customHeight="1" x14ac:dyDescent="0.2">
      <c r="A7" s="359" t="s">
        <v>203</v>
      </c>
      <c r="B7" s="359"/>
      <c r="C7" s="359"/>
    </row>
    <row r="8" spans="1:3" x14ac:dyDescent="0.2">
      <c r="A8" s="1" t="s">
        <v>204</v>
      </c>
    </row>
    <row r="9" spans="1:3" x14ac:dyDescent="0.2">
      <c r="A9" s="1" t="s">
        <v>234</v>
      </c>
    </row>
    <row r="10" spans="1:3" ht="13.5" thickBot="1" x14ac:dyDescent="0.25"/>
    <row r="11" spans="1:3" ht="18" x14ac:dyDescent="0.25">
      <c r="B11" s="357" t="s">
        <v>223</v>
      </c>
      <c r="C11" s="358"/>
    </row>
    <row r="12" spans="1:3" ht="15" x14ac:dyDescent="0.25">
      <c r="A12" s="144"/>
      <c r="B12" s="143" t="s">
        <v>200</v>
      </c>
      <c r="C12" s="191"/>
    </row>
    <row r="13" spans="1:3" ht="15" x14ac:dyDescent="0.25">
      <c r="A13" s="144"/>
      <c r="B13" s="145" t="s">
        <v>115</v>
      </c>
      <c r="C13" s="146">
        <v>2486</v>
      </c>
    </row>
    <row r="14" spans="1:3" ht="15" x14ac:dyDescent="0.25">
      <c r="A14" s="144"/>
      <c r="B14" s="147" t="s">
        <v>116</v>
      </c>
      <c r="C14" s="146">
        <v>3303</v>
      </c>
    </row>
    <row r="15" spans="1:3" ht="14.25" x14ac:dyDescent="0.2">
      <c r="A15" s="144"/>
      <c r="B15" s="192" t="s">
        <v>117</v>
      </c>
      <c r="C15" s="193">
        <v>81</v>
      </c>
    </row>
    <row r="16" spans="1:3" ht="14.25" x14ac:dyDescent="0.2">
      <c r="A16" s="144"/>
      <c r="B16" s="192" t="s">
        <v>118</v>
      </c>
      <c r="C16" s="193">
        <v>2336</v>
      </c>
    </row>
    <row r="17" spans="1:7" ht="14.25" x14ac:dyDescent="0.2">
      <c r="A17" s="144"/>
      <c r="B17" s="192" t="s">
        <v>119</v>
      </c>
      <c r="C17" s="193">
        <v>342</v>
      </c>
    </row>
    <row r="18" spans="1:7" ht="14.25" x14ac:dyDescent="0.2">
      <c r="A18" s="144"/>
      <c r="B18" s="192" t="s">
        <v>120</v>
      </c>
      <c r="C18" s="193">
        <v>18</v>
      </c>
    </row>
    <row r="19" spans="1:7" ht="14.25" x14ac:dyDescent="0.2">
      <c r="A19" s="144"/>
      <c r="B19" s="192" t="s">
        <v>121</v>
      </c>
      <c r="C19" s="193">
        <v>500</v>
      </c>
    </row>
    <row r="20" spans="1:7" ht="14.25" x14ac:dyDescent="0.2">
      <c r="A20" s="144"/>
      <c r="B20" s="192" t="s">
        <v>122</v>
      </c>
      <c r="C20" s="193">
        <v>1</v>
      </c>
    </row>
    <row r="21" spans="1:7" ht="14.25" x14ac:dyDescent="0.2">
      <c r="A21" s="144"/>
      <c r="B21" s="192" t="s">
        <v>123</v>
      </c>
      <c r="C21" s="193">
        <v>25</v>
      </c>
    </row>
    <row r="22" spans="1:7" ht="14.25" x14ac:dyDescent="0.2">
      <c r="A22" s="144"/>
      <c r="B22" s="194" t="s">
        <v>124</v>
      </c>
      <c r="C22" s="195">
        <v>0</v>
      </c>
    </row>
    <row r="23" spans="1:7" ht="15" x14ac:dyDescent="0.25">
      <c r="A23" s="144" t="s">
        <v>125</v>
      </c>
      <c r="B23" s="143" t="s">
        <v>126</v>
      </c>
      <c r="C23" s="191"/>
    </row>
    <row r="24" spans="1:7" ht="14.25" x14ac:dyDescent="0.2">
      <c r="A24" s="144"/>
      <c r="B24" s="196" t="s">
        <v>249</v>
      </c>
      <c r="C24" s="197">
        <v>6400</v>
      </c>
    </row>
    <row r="25" spans="1:7" ht="14.25" x14ac:dyDescent="0.2">
      <c r="A25" s="144"/>
      <c r="B25" s="192" t="s">
        <v>250</v>
      </c>
      <c r="C25" s="193">
        <v>5583</v>
      </c>
    </row>
    <row r="26" spans="1:7" ht="14.25" x14ac:dyDescent="0.2">
      <c r="B26" s="192" t="s">
        <v>251</v>
      </c>
      <c r="C26" s="193">
        <v>-817</v>
      </c>
    </row>
    <row r="27" spans="1:7" ht="14.25" x14ac:dyDescent="0.2">
      <c r="B27" s="198"/>
      <c r="C27" s="199"/>
    </row>
    <row r="28" spans="1:7" ht="15" x14ac:dyDescent="0.25">
      <c r="B28" s="148" t="s">
        <v>127</v>
      </c>
      <c r="C28" s="260">
        <f>MEDIAN(C13,C14)/MEDIAN(C24,C25)</f>
        <v>0.48310105983476592</v>
      </c>
      <c r="G28" s="1">
        <f>12/C28</f>
        <v>24.839523233719124</v>
      </c>
    </row>
    <row r="29" spans="1:7" ht="15" x14ac:dyDescent="0.25">
      <c r="B29" s="145" t="s">
        <v>128</v>
      </c>
      <c r="C29" s="260">
        <f>C16/MEDIAN(C24,C25)</f>
        <v>0.38988567136777103</v>
      </c>
    </row>
    <row r="30" spans="1:7" ht="15" x14ac:dyDescent="0.25">
      <c r="B30" s="150" t="s">
        <v>129</v>
      </c>
      <c r="C30" s="149">
        <v>360</v>
      </c>
    </row>
    <row r="31" spans="1:7" ht="15" x14ac:dyDescent="0.25">
      <c r="B31" s="145" t="s">
        <v>235</v>
      </c>
      <c r="C31" s="149">
        <v>10</v>
      </c>
    </row>
    <row r="32" spans="1:7" ht="15" x14ac:dyDescent="0.25">
      <c r="B32" s="145" t="s">
        <v>236</v>
      </c>
      <c r="C32" s="149">
        <v>30</v>
      </c>
      <c r="G32" s="1">
        <f>TRUNC(G37)</f>
        <v>0</v>
      </c>
    </row>
    <row r="33" spans="2:11" ht="15" x14ac:dyDescent="0.25">
      <c r="B33" s="145" t="s">
        <v>237</v>
      </c>
      <c r="C33" s="149">
        <v>30</v>
      </c>
    </row>
    <row r="34" spans="2:11" s="99" customFormat="1" ht="15" x14ac:dyDescent="0.25">
      <c r="B34" s="145" t="s">
        <v>130</v>
      </c>
      <c r="C34" s="200">
        <f>MEDIAN(C24,C25)</f>
        <v>5991.5</v>
      </c>
    </row>
    <row r="35" spans="2:11" s="99" customFormat="1" ht="15" x14ac:dyDescent="0.25">
      <c r="B35" s="145" t="s">
        <v>38</v>
      </c>
      <c r="C35" s="201">
        <v>0.08</v>
      </c>
      <c r="K35" s="99">
        <f>IF(C39&gt;12,C39-12,C39)</f>
        <v>12.839523233719124</v>
      </c>
    </row>
    <row r="36" spans="2:11" s="99" customFormat="1" ht="15" x14ac:dyDescent="0.25">
      <c r="B36" s="145" t="s">
        <v>131</v>
      </c>
      <c r="C36" s="201">
        <v>0.5</v>
      </c>
      <c r="K36" s="99" t="e">
        <f>IF(#REF!&gt;12,#REF!-12,#REF!)</f>
        <v>#REF!</v>
      </c>
    </row>
    <row r="37" spans="2:11" s="99" customFormat="1" ht="15" x14ac:dyDescent="0.25">
      <c r="B37" s="145" t="s">
        <v>132</v>
      </c>
      <c r="C37" s="261">
        <f>((1/C28)-TRUNC(E37))</f>
        <v>6.9960269476593506E-2</v>
      </c>
      <c r="D37" s="99">
        <f>TRUNC(E37)</f>
        <v>2</v>
      </c>
      <c r="E37" s="99">
        <f>1/C28</f>
        <v>2.0699602694765935</v>
      </c>
      <c r="F37" s="99">
        <f>((1/C28)-TRUNC(E37))</f>
        <v>6.9960269476593506E-2</v>
      </c>
      <c r="G37" s="99">
        <f>12*F37</f>
        <v>0.83952323371912208</v>
      </c>
      <c r="K37" s="99" t="e">
        <f>IF(#REF!&gt;12,#REF!-12,#REF!)</f>
        <v>#REF!</v>
      </c>
    </row>
    <row r="38" spans="2:11" s="99" customFormat="1" ht="15" x14ac:dyDescent="0.25">
      <c r="B38" s="143" t="s">
        <v>133</v>
      </c>
      <c r="C38" s="151">
        <f>30+D38</f>
        <v>36</v>
      </c>
      <c r="D38" s="99">
        <f>3*D37</f>
        <v>6</v>
      </c>
      <c r="G38" s="99">
        <f>G37/12*40/360</f>
        <v>7.7733632751770566E-3</v>
      </c>
      <c r="K38" s="99" t="e">
        <f>IF(#REF!&gt;12,#REF!-12,#REF!)</f>
        <v>#REF!</v>
      </c>
    </row>
    <row r="39" spans="2:11" s="99" customFormat="1" ht="15.75" thickBot="1" x14ac:dyDescent="0.3">
      <c r="B39" s="152" t="s">
        <v>240</v>
      </c>
      <c r="C39" s="262">
        <f>12/C28</f>
        <v>24.839523233719124</v>
      </c>
      <c r="K39" s="99" t="e">
        <f>IF(#REF!&gt;12,#REF!-12,#REF!)</f>
        <v>#REF!</v>
      </c>
    </row>
    <row r="40" spans="2:11" x14ac:dyDescent="0.2">
      <c r="K40" s="1" t="e">
        <f t="shared" ref="K40:K41" si="0">IF(K39&gt;12,K39-12,K39)</f>
        <v>#REF!</v>
      </c>
    </row>
    <row r="41" spans="2:11" x14ac:dyDescent="0.2">
      <c r="K41" s="1" t="e">
        <f t="shared" si="0"/>
        <v>#REF!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14" sqref="E14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1" bestFit="1" customWidth="1"/>
    <col min="6" max="6" width="9.7109375" bestFit="1" customWidth="1"/>
  </cols>
  <sheetData>
    <row r="1" spans="1:8" s="133" customFormat="1" ht="14.25" x14ac:dyDescent="0.2">
      <c r="A1" s="11" t="s">
        <v>197</v>
      </c>
      <c r="B1" s="131"/>
      <c r="C1" s="131"/>
      <c r="E1" s="134"/>
    </row>
    <row r="2" spans="1:8" s="133" customFormat="1" ht="14.25" x14ac:dyDescent="0.2">
      <c r="A2" s="126" t="s">
        <v>241</v>
      </c>
      <c r="B2" s="131"/>
      <c r="C2" s="131"/>
      <c r="E2" s="134"/>
    </row>
    <row r="3" spans="1:8" s="133" customFormat="1" ht="14.25" x14ac:dyDescent="0.2">
      <c r="A3" s="9" t="s">
        <v>198</v>
      </c>
      <c r="B3" s="131"/>
      <c r="C3" s="131"/>
      <c r="E3" s="134"/>
    </row>
    <row r="4" spans="1:8" s="133" customFormat="1" ht="14.25" x14ac:dyDescent="0.2">
      <c r="A4" s="99" t="s">
        <v>291</v>
      </c>
      <c r="B4" s="131"/>
      <c r="C4" s="131"/>
      <c r="E4" s="134"/>
    </row>
    <row r="5" spans="1:8" s="133" customFormat="1" ht="15" thickBot="1" x14ac:dyDescent="0.25">
      <c r="B5" s="131"/>
      <c r="C5" s="131"/>
      <c r="E5" s="134"/>
    </row>
    <row r="6" spans="1:8" ht="15.75" x14ac:dyDescent="0.2">
      <c r="A6" s="366" t="s">
        <v>224</v>
      </c>
      <c r="B6" s="367"/>
      <c r="C6" s="367"/>
      <c r="D6" s="367"/>
      <c r="E6" s="367"/>
      <c r="F6" s="368"/>
    </row>
    <row r="7" spans="1:8" ht="16.5" thickBot="1" x14ac:dyDescent="0.25">
      <c r="A7" s="244"/>
      <c r="B7" s="245"/>
      <c r="C7" s="245"/>
      <c r="D7" s="245"/>
      <c r="E7" s="245"/>
      <c r="F7" s="246"/>
    </row>
    <row r="8" spans="1:8" ht="15" x14ac:dyDescent="0.25">
      <c r="A8" s="202"/>
      <c r="B8" s="132"/>
      <c r="C8" s="132"/>
      <c r="D8" s="363" t="s">
        <v>238</v>
      </c>
      <c r="E8" s="364"/>
      <c r="F8" s="365"/>
      <c r="G8" s="133"/>
      <c r="H8" s="133"/>
    </row>
    <row r="9" spans="1:8" ht="15" thickBot="1" x14ac:dyDescent="0.25">
      <c r="A9" s="198"/>
      <c r="B9" s="203"/>
      <c r="C9" s="203"/>
      <c r="D9" s="204" t="s">
        <v>184</v>
      </c>
      <c r="E9" s="205" t="s">
        <v>185</v>
      </c>
      <c r="F9" s="206" t="s">
        <v>186</v>
      </c>
      <c r="G9" s="133"/>
      <c r="H9" s="133"/>
    </row>
    <row r="10" spans="1:8" ht="14.25" x14ac:dyDescent="0.2">
      <c r="A10" s="207" t="s">
        <v>71</v>
      </c>
      <c r="B10" s="208" t="s">
        <v>72</v>
      </c>
      <c r="C10" s="209">
        <v>0.06</v>
      </c>
      <c r="D10" s="230">
        <v>2.9700000000000001E-2</v>
      </c>
      <c r="E10" s="231">
        <v>5.0799999999999998E-2</v>
      </c>
      <c r="F10" s="232">
        <v>6.2700000000000006E-2</v>
      </c>
      <c r="G10" s="133"/>
      <c r="H10" s="133"/>
    </row>
    <row r="11" spans="1:8" ht="14.25" x14ac:dyDescent="0.2">
      <c r="A11" s="211" t="s">
        <v>73</v>
      </c>
      <c r="B11" s="212" t="s">
        <v>74</v>
      </c>
      <c r="C11" s="213">
        <v>0.01</v>
      </c>
      <c r="D11" s="230">
        <f>0.3%+0.56%</f>
        <v>8.6E-3</v>
      </c>
      <c r="E11" s="231">
        <f>0.48%+0.85%</f>
        <v>1.3299999999999999E-2</v>
      </c>
      <c r="F11" s="232">
        <f>0.82%+0.89%</f>
        <v>1.7099999999999997E-2</v>
      </c>
      <c r="G11" s="133"/>
      <c r="H11" s="133"/>
    </row>
    <row r="12" spans="1:8" ht="14.25" x14ac:dyDescent="0.2">
      <c r="A12" s="211" t="s">
        <v>75</v>
      </c>
      <c r="B12" s="212" t="s">
        <v>76</v>
      </c>
      <c r="C12" s="213">
        <v>0.09</v>
      </c>
      <c r="D12" s="230">
        <v>7.7799999999999994E-2</v>
      </c>
      <c r="E12" s="231">
        <v>0.1085</v>
      </c>
      <c r="F12" s="232">
        <v>0.13550000000000001</v>
      </c>
      <c r="G12" s="133"/>
      <c r="H12" s="133"/>
    </row>
    <row r="13" spans="1:8" ht="14.25" x14ac:dyDescent="0.2">
      <c r="A13" s="211" t="s">
        <v>77</v>
      </c>
      <c r="B13" s="212" t="s">
        <v>78</v>
      </c>
      <c r="C13" s="214">
        <f>(1+E13)^(E14/252)-1</f>
        <v>2.1268922415460523E-3</v>
      </c>
      <c r="D13" s="230" t="s">
        <v>252</v>
      </c>
      <c r="E13" s="215">
        <v>5.5E-2</v>
      </c>
      <c r="F13" s="210"/>
      <c r="G13" s="133"/>
      <c r="H13" s="133"/>
    </row>
    <row r="14" spans="1:8" ht="14.25" x14ac:dyDescent="0.2">
      <c r="A14" s="211" t="s">
        <v>79</v>
      </c>
      <c r="B14" s="361" t="s">
        <v>80</v>
      </c>
      <c r="C14" s="213">
        <v>0.02</v>
      </c>
      <c r="D14" s="267" t="s">
        <v>187</v>
      </c>
      <c r="E14" s="216">
        <v>10</v>
      </c>
      <c r="F14" s="217"/>
      <c r="G14" s="133"/>
      <c r="H14" s="133"/>
    </row>
    <row r="15" spans="1:8" ht="15" thickBot="1" x14ac:dyDescent="0.25">
      <c r="A15" s="218" t="s">
        <v>255</v>
      </c>
      <c r="B15" s="362"/>
      <c r="C15" s="219">
        <v>3.6499999999999998E-2</v>
      </c>
      <c r="D15" s="192"/>
      <c r="E15" s="220"/>
      <c r="F15" s="217"/>
      <c r="G15" s="133"/>
      <c r="H15" s="133"/>
    </row>
    <row r="16" spans="1:8" ht="14.25" x14ac:dyDescent="0.2">
      <c r="A16" s="221" t="s">
        <v>81</v>
      </c>
      <c r="B16" s="222"/>
      <c r="C16" s="223"/>
      <c r="D16" s="192"/>
      <c r="E16" s="220"/>
      <c r="F16" s="217"/>
      <c r="G16" s="133"/>
      <c r="H16" s="133"/>
    </row>
    <row r="17" spans="1:8" ht="15" thickBot="1" x14ac:dyDescent="0.25">
      <c r="A17" s="224" t="s">
        <v>82</v>
      </c>
      <c r="B17" s="225"/>
      <c r="C17" s="226"/>
      <c r="D17" s="192"/>
      <c r="E17" s="220"/>
      <c r="F17" s="217"/>
      <c r="G17" s="133"/>
      <c r="H17" s="133"/>
    </row>
    <row r="18" spans="1:8" ht="15.75" thickBot="1" x14ac:dyDescent="0.25">
      <c r="A18" s="227" t="s">
        <v>83</v>
      </c>
      <c r="B18" s="228"/>
      <c r="C18" s="229">
        <f>ROUND((((1+C10+C11)*(1+C12)*(1+C13))/(1-(C14+C15))-1),4)</f>
        <v>0.23880000000000001</v>
      </c>
      <c r="D18" s="233">
        <v>0.21429999999999999</v>
      </c>
      <c r="E18" s="234">
        <v>0.2717</v>
      </c>
      <c r="F18" s="235">
        <v>0.3362</v>
      </c>
      <c r="G18" s="133"/>
      <c r="H18" s="133"/>
    </row>
    <row r="19" spans="1:8" ht="14.25" x14ac:dyDescent="0.2">
      <c r="A19" s="133"/>
      <c r="B19" s="133"/>
      <c r="C19" s="133"/>
      <c r="D19" s="133"/>
      <c r="E19" s="134"/>
      <c r="F19" s="133"/>
      <c r="G19" s="133"/>
      <c r="H19" s="133"/>
    </row>
    <row r="20" spans="1:8" ht="14.25" x14ac:dyDescent="0.2">
      <c r="A20" s="133"/>
      <c r="B20" s="133"/>
      <c r="C20" s="133"/>
      <c r="D20" s="133"/>
      <c r="E20" s="134"/>
      <c r="F20" s="133"/>
      <c r="G20" s="133"/>
      <c r="H20" s="133"/>
    </row>
    <row r="21" spans="1:8" ht="14.25" x14ac:dyDescent="0.2">
      <c r="A21" s="133"/>
      <c r="B21" s="133"/>
      <c r="C21" s="133"/>
      <c r="D21" s="133"/>
      <c r="E21" s="134"/>
      <c r="F21" s="133"/>
      <c r="G21" s="133"/>
      <c r="H21" s="133"/>
    </row>
    <row r="22" spans="1:8" ht="14.25" x14ac:dyDescent="0.2">
      <c r="A22" s="133"/>
      <c r="B22" s="133"/>
      <c r="C22" s="133"/>
      <c r="D22" s="133"/>
      <c r="E22" s="134"/>
      <c r="F22" s="133"/>
      <c r="G22" s="133"/>
      <c r="H22" s="133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F13" sqref="F13"/>
    </sheetView>
  </sheetViews>
  <sheetFormatPr defaultColWidth="9.140625"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69" t="s">
        <v>227</v>
      </c>
      <c r="B1" s="370"/>
    </row>
    <row r="2" spans="1:2" s="99" customFormat="1" ht="19.5" customHeight="1" x14ac:dyDescent="0.2">
      <c r="A2" s="247" t="s">
        <v>206</v>
      </c>
      <c r="B2" s="248" t="s">
        <v>253</v>
      </c>
    </row>
    <row r="3" spans="1:2" ht="19.5" customHeight="1" x14ac:dyDescent="0.2">
      <c r="A3" s="154">
        <v>1</v>
      </c>
      <c r="B3" s="153">
        <v>33.629999999999995</v>
      </c>
    </row>
    <row r="4" spans="1:2" ht="19.5" customHeight="1" x14ac:dyDescent="0.2">
      <c r="A4" s="154">
        <v>2</v>
      </c>
      <c r="B4" s="153">
        <v>43.13</v>
      </c>
    </row>
    <row r="5" spans="1:2" ht="19.5" customHeight="1" x14ac:dyDescent="0.2">
      <c r="A5" s="154">
        <v>3</v>
      </c>
      <c r="B5" s="153">
        <v>48.68</v>
      </c>
    </row>
    <row r="6" spans="1:2" ht="19.5" customHeight="1" x14ac:dyDescent="0.2">
      <c r="A6" s="154">
        <v>4</v>
      </c>
      <c r="B6" s="153">
        <v>52.62</v>
      </c>
    </row>
    <row r="7" spans="1:2" ht="19.5" customHeight="1" x14ac:dyDescent="0.2">
      <c r="A7" s="154">
        <v>5</v>
      </c>
      <c r="B7" s="153">
        <v>55.679999999999993</v>
      </c>
    </row>
    <row r="8" spans="1:2" ht="19.5" customHeight="1" x14ac:dyDescent="0.2">
      <c r="A8" s="154">
        <v>6</v>
      </c>
      <c r="B8" s="153">
        <v>58.18</v>
      </c>
    </row>
    <row r="9" spans="1:2" ht="19.5" customHeight="1" x14ac:dyDescent="0.2">
      <c r="A9" s="154">
        <v>7</v>
      </c>
      <c r="B9" s="153">
        <v>60.29</v>
      </c>
    </row>
    <row r="10" spans="1:2" ht="19.5" customHeight="1" x14ac:dyDescent="0.2">
      <c r="A10" s="154">
        <v>8</v>
      </c>
      <c r="B10" s="153">
        <v>62.12</v>
      </c>
    </row>
    <row r="11" spans="1:2" ht="19.5" customHeight="1" x14ac:dyDescent="0.2">
      <c r="A11" s="154">
        <v>9</v>
      </c>
      <c r="B11" s="153">
        <v>63.73</v>
      </c>
    </row>
    <row r="12" spans="1:2" ht="19.5" customHeight="1" x14ac:dyDescent="0.2">
      <c r="A12" s="154">
        <v>10</v>
      </c>
      <c r="B12" s="153">
        <v>65.180000000000007</v>
      </c>
    </row>
    <row r="13" spans="1:2" ht="19.5" customHeight="1" x14ac:dyDescent="0.2">
      <c r="A13" s="154">
        <v>11</v>
      </c>
      <c r="B13" s="153">
        <v>66.47999999999999</v>
      </c>
    </row>
    <row r="14" spans="1:2" ht="19.5" customHeight="1" x14ac:dyDescent="0.2">
      <c r="A14" s="154">
        <v>12</v>
      </c>
      <c r="B14" s="153">
        <v>67.67</v>
      </c>
    </row>
    <row r="15" spans="1:2" ht="19.5" customHeight="1" x14ac:dyDescent="0.2">
      <c r="A15" s="154">
        <v>13</v>
      </c>
      <c r="B15" s="153">
        <v>68.77</v>
      </c>
    </row>
    <row r="16" spans="1:2" ht="19.5" customHeight="1" x14ac:dyDescent="0.2">
      <c r="A16" s="154">
        <v>14</v>
      </c>
      <c r="B16" s="153">
        <v>69.789999999999992</v>
      </c>
    </row>
    <row r="17" spans="1:2" ht="19.5" customHeight="1" thickBot="1" x14ac:dyDescent="0.25">
      <c r="A17" s="155">
        <v>15</v>
      </c>
      <c r="B17" s="156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1. Coleta Domiciliar</vt:lpstr>
      <vt:lpstr>2.Encargos Sociais</vt:lpstr>
      <vt:lpstr>3.CAGED</vt:lpstr>
      <vt:lpstr>4.BDI</vt:lpstr>
      <vt:lpstr>5. Depreciação</vt:lpstr>
      <vt:lpstr>AbaDeprec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Saulo Lucas Torquetti</cp:lastModifiedBy>
  <cp:lastPrinted>2023-05-11T19:41:02Z</cp:lastPrinted>
  <dcterms:created xsi:type="dcterms:W3CDTF">2000-12-13T10:02:50Z</dcterms:created>
  <dcterms:modified xsi:type="dcterms:W3CDTF">2023-05-11T19:41:08Z</dcterms:modified>
</cp:coreProperties>
</file>