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ago\Desktop\Prefeitura\2023\"/>
    </mc:Choice>
  </mc:AlternateContent>
  <bookViews>
    <workbookView xWindow="0" yWindow="0" windowWidth="23040" windowHeight="9096" activeTab="2"/>
  </bookViews>
  <sheets>
    <sheet name="BDI" sheetId="9" r:id="rId1"/>
    <sheet name="EncargosSociais" sheetId="7" r:id="rId2"/>
    <sheet name="FormaçãoPreço" sheetId="4" r:id="rId3"/>
    <sheet name="PlanilhaLicitação" sheetId="12" r:id="rId4"/>
  </sheets>
  <calcPr calcId="152511"/>
</workbook>
</file>

<file path=xl/calcChain.xml><?xml version="1.0" encoding="utf-8"?>
<calcChain xmlns="http://schemas.openxmlformats.org/spreadsheetml/2006/main">
  <c r="J233" i="12" l="1"/>
  <c r="J234" i="4"/>
  <c r="J233" i="4"/>
  <c r="K207" i="4" l="1"/>
  <c r="K145" i="4" l="1"/>
  <c r="K81" i="4"/>
  <c r="K78" i="4"/>
  <c r="K20" i="4"/>
  <c r="K23" i="4"/>
  <c r="I215" i="12" l="1"/>
  <c r="M164" i="12"/>
  <c r="N163" i="12"/>
  <c r="M163" i="12"/>
  <c r="N162" i="12"/>
  <c r="N164" i="12" s="1"/>
  <c r="M162" i="12"/>
  <c r="N160" i="12"/>
  <c r="N159" i="12"/>
  <c r="M159" i="12"/>
  <c r="M160" i="12" s="1"/>
  <c r="N157" i="12"/>
  <c r="M157" i="12"/>
  <c r="M138" i="12"/>
  <c r="N138" i="12" s="1"/>
  <c r="N106" i="12"/>
  <c r="N116" i="12" s="1"/>
  <c r="O80" i="12"/>
  <c r="N79" i="12"/>
  <c r="M79" i="12"/>
  <c r="N78" i="12"/>
  <c r="M78" i="12"/>
  <c r="K159" i="4"/>
  <c r="K160" i="4" s="1"/>
  <c r="K157" i="4"/>
  <c r="I219" i="9"/>
  <c r="K211" i="9"/>
  <c r="K212" i="9" s="1"/>
  <c r="K215" i="9" s="1"/>
  <c r="K216" i="9" s="1"/>
  <c r="K218" i="9" s="1"/>
  <c r="K181" i="9"/>
  <c r="K180" i="9"/>
  <c r="K179" i="9"/>
  <c r="K170" i="9"/>
  <c r="N167" i="9"/>
  <c r="M167" i="9"/>
  <c r="K167" i="9"/>
  <c r="N166" i="9"/>
  <c r="M166" i="9"/>
  <c r="K166" i="9"/>
  <c r="K168" i="9" s="1"/>
  <c r="M164" i="9"/>
  <c r="K164" i="9"/>
  <c r="N163" i="9"/>
  <c r="N164" i="9" s="1"/>
  <c r="M163" i="9"/>
  <c r="K163" i="9"/>
  <c r="N161" i="9"/>
  <c r="K161" i="9"/>
  <c r="M143" i="9"/>
  <c r="M161" i="9" s="1"/>
  <c r="K141" i="9"/>
  <c r="M141" i="9" s="1"/>
  <c r="N141" i="9" s="1"/>
  <c r="K114" i="9"/>
  <c r="K113" i="9"/>
  <c r="K112" i="9"/>
  <c r="K111" i="9"/>
  <c r="K110" i="9"/>
  <c r="K109" i="9"/>
  <c r="K108" i="9"/>
  <c r="K106" i="9"/>
  <c r="N106" i="9" s="1"/>
  <c r="N116" i="9" s="1"/>
  <c r="K98" i="9"/>
  <c r="K96" i="9"/>
  <c r="K92" i="9"/>
  <c r="K90" i="9"/>
  <c r="K91" i="9" s="1"/>
  <c r="K82" i="9"/>
  <c r="K81" i="9"/>
  <c r="O80" i="9"/>
  <c r="K80" i="9"/>
  <c r="N79" i="9"/>
  <c r="M79" i="9"/>
  <c r="N78" i="9"/>
  <c r="M78" i="9"/>
  <c r="K55" i="9"/>
  <c r="K45" i="9"/>
  <c r="K17" i="9"/>
  <c r="K99" i="9" s="1"/>
  <c r="K13" i="9"/>
  <c r="B5" i="7"/>
  <c r="K17" i="4"/>
  <c r="K114" i="4"/>
  <c r="K113" i="4"/>
  <c r="K112" i="4"/>
  <c r="K111" i="4"/>
  <c r="K110" i="4"/>
  <c r="K109" i="4"/>
  <c r="K108" i="4"/>
  <c r="N90" i="12" l="1"/>
  <c r="N94" i="12" s="1"/>
  <c r="N80" i="12"/>
  <c r="N84" i="12" s="1"/>
  <c r="N85" i="12" s="1"/>
  <c r="N96" i="12"/>
  <c r="N100" i="12" s="1"/>
  <c r="M80" i="12"/>
  <c r="M84" i="12" s="1"/>
  <c r="M85" i="12" s="1"/>
  <c r="M98" i="12"/>
  <c r="M100" i="12" s="1"/>
  <c r="K173" i="9"/>
  <c r="M168" i="9"/>
  <c r="K176" i="9"/>
  <c r="K182" i="9"/>
  <c r="K93" i="9"/>
  <c r="M92" i="9" s="1"/>
  <c r="M94" i="9" s="1"/>
  <c r="M98" i="9"/>
  <c r="M100" i="9" s="1"/>
  <c r="N90" i="9"/>
  <c r="N94" i="9" s="1"/>
  <c r="K115" i="9"/>
  <c r="M115" i="9" s="1"/>
  <c r="M116" i="9" s="1"/>
  <c r="K221" i="9"/>
  <c r="K219" i="9"/>
  <c r="N80" i="9"/>
  <c r="N84" i="9" s="1"/>
  <c r="N85" i="9" s="1"/>
  <c r="M80" i="9"/>
  <c r="M84" i="9" s="1"/>
  <c r="M85" i="9" s="1"/>
  <c r="N96" i="9"/>
  <c r="N100" i="9" s="1"/>
  <c r="N168" i="9"/>
  <c r="K142" i="9"/>
  <c r="K174" i="9" s="1"/>
  <c r="K97" i="9"/>
  <c r="K100" i="9" s="1"/>
  <c r="K83" i="9"/>
  <c r="K84" i="9" s="1"/>
  <c r="K85" i="9" s="1"/>
  <c r="K116" i="9"/>
  <c r="K209" i="7"/>
  <c r="K210" i="7" s="1"/>
  <c r="K213" i="7" s="1"/>
  <c r="K214" i="7" s="1"/>
  <c r="K216" i="7" s="1"/>
  <c r="I191" i="7"/>
  <c r="I217" i="7" s="1"/>
  <c r="K182" i="7"/>
  <c r="K183" i="7" s="1"/>
  <c r="K181" i="7"/>
  <c r="K180" i="7"/>
  <c r="K179" i="7"/>
  <c r="K170" i="7"/>
  <c r="K171" i="7" s="1"/>
  <c r="M171" i="7" s="1"/>
  <c r="N167" i="7"/>
  <c r="M167" i="7"/>
  <c r="K167" i="7"/>
  <c r="N166" i="7"/>
  <c r="N168" i="7" s="1"/>
  <c r="M166" i="7"/>
  <c r="K166" i="7"/>
  <c r="K176" i="7" s="1"/>
  <c r="K177" i="7" s="1"/>
  <c r="M177" i="7" s="1"/>
  <c r="N163" i="7"/>
  <c r="N164" i="7" s="1"/>
  <c r="M163" i="7"/>
  <c r="K163" i="7"/>
  <c r="K164" i="7" s="1"/>
  <c r="N161" i="7"/>
  <c r="M161" i="7"/>
  <c r="M143" i="7"/>
  <c r="M164" i="7" s="1"/>
  <c r="K143" i="7"/>
  <c r="K161" i="7" s="1"/>
  <c r="K142" i="7"/>
  <c r="M142" i="7" s="1"/>
  <c r="N142" i="7" s="1"/>
  <c r="M141" i="7"/>
  <c r="N141" i="7" s="1"/>
  <c r="K141" i="7"/>
  <c r="K114" i="7"/>
  <c r="K113" i="7"/>
  <c r="K112" i="7"/>
  <c r="K111" i="7"/>
  <c r="K110" i="7"/>
  <c r="K109" i="7"/>
  <c r="K108" i="7"/>
  <c r="K106" i="7"/>
  <c r="N106" i="7" s="1"/>
  <c r="N116" i="7" s="1"/>
  <c r="K99" i="7"/>
  <c r="M98" i="7"/>
  <c r="M100" i="7" s="1"/>
  <c r="K98" i="7"/>
  <c r="K97" i="7"/>
  <c r="K96" i="7"/>
  <c r="K100" i="7" s="1"/>
  <c r="K93" i="7"/>
  <c r="K92" i="7"/>
  <c r="K90" i="7"/>
  <c r="K91" i="7" s="1"/>
  <c r="K81" i="7"/>
  <c r="O80" i="7"/>
  <c r="K80" i="7"/>
  <c r="N79" i="7"/>
  <c r="M79" i="7"/>
  <c r="N78" i="7"/>
  <c r="M78" i="7"/>
  <c r="K55" i="7"/>
  <c r="K45" i="7"/>
  <c r="K13" i="7"/>
  <c r="K115" i="4"/>
  <c r="K92" i="4"/>
  <c r="M92" i="12" l="1"/>
  <c r="M94" i="12" s="1"/>
  <c r="M115" i="12"/>
  <c r="M116" i="12" s="1"/>
  <c r="N87" i="12"/>
  <c r="N88" i="12" s="1"/>
  <c r="N117" i="12" s="1"/>
  <c r="N120" i="12" s="1"/>
  <c r="N173" i="12"/>
  <c r="M173" i="12"/>
  <c r="M139" i="12"/>
  <c r="N139" i="12" s="1"/>
  <c r="M87" i="12"/>
  <c r="M88" i="12" s="1"/>
  <c r="K94" i="9"/>
  <c r="N174" i="9"/>
  <c r="M174" i="9"/>
  <c r="K117" i="9"/>
  <c r="K120" i="9" s="1"/>
  <c r="K87" i="9"/>
  <c r="K88" i="9" s="1"/>
  <c r="K223" i="9"/>
  <c r="K222" i="9"/>
  <c r="K224" i="9"/>
  <c r="N87" i="9"/>
  <c r="N88" i="9" s="1"/>
  <c r="N117" i="9" s="1"/>
  <c r="N120" i="9" s="1"/>
  <c r="M142" i="9"/>
  <c r="N142" i="9" s="1"/>
  <c r="K183" i="9"/>
  <c r="K171" i="9"/>
  <c r="K177" i="9"/>
  <c r="M87" i="9"/>
  <c r="M88" i="9" s="1"/>
  <c r="M117" i="9"/>
  <c r="M120" i="9" s="1"/>
  <c r="N90" i="7"/>
  <c r="N94" i="7" s="1"/>
  <c r="K94" i="7"/>
  <c r="N183" i="7"/>
  <c r="M183" i="7"/>
  <c r="K217" i="7"/>
  <c r="K219" i="7" s="1"/>
  <c r="K83" i="7"/>
  <c r="N80" i="7"/>
  <c r="N84" i="7" s="1"/>
  <c r="N85" i="7" s="1"/>
  <c r="K82" i="7"/>
  <c r="M80" i="7"/>
  <c r="M84" i="7" s="1"/>
  <c r="M85" i="7" s="1"/>
  <c r="K168" i="7"/>
  <c r="N171" i="7"/>
  <c r="N177" i="7"/>
  <c r="M92" i="7"/>
  <c r="M94" i="7" s="1"/>
  <c r="N96" i="7"/>
  <c r="N100" i="7" s="1"/>
  <c r="K115" i="7"/>
  <c r="M168" i="7"/>
  <c r="K173" i="7"/>
  <c r="K174" i="7" s="1"/>
  <c r="J231" i="12" l="1"/>
  <c r="M117" i="12"/>
  <c r="M120" i="12" s="1"/>
  <c r="M121" i="12" s="1"/>
  <c r="N121" i="12"/>
  <c r="N123" i="12" s="1"/>
  <c r="N170" i="12"/>
  <c r="M170" i="12"/>
  <c r="M179" i="12"/>
  <c r="N179" i="12"/>
  <c r="N167" i="12"/>
  <c r="M167" i="12"/>
  <c r="N121" i="9"/>
  <c r="N123" i="9" s="1"/>
  <c r="M121" i="9"/>
  <c r="M123" i="9"/>
  <c r="K123" i="9"/>
  <c r="K121" i="9"/>
  <c r="K225" i="9"/>
  <c r="K226" i="9" s="1"/>
  <c r="K227" i="9" s="1"/>
  <c r="K228" i="9" s="1"/>
  <c r="J235" i="9" s="1"/>
  <c r="N177" i="9"/>
  <c r="M177" i="9"/>
  <c r="N183" i="9"/>
  <c r="M183" i="9"/>
  <c r="N171" i="9"/>
  <c r="N184" i="9" s="1"/>
  <c r="N187" i="9" s="1"/>
  <c r="M171" i="9"/>
  <c r="K184" i="9"/>
  <c r="K187" i="9" s="1"/>
  <c r="K188" i="9" s="1"/>
  <c r="K190" i="9" s="1"/>
  <c r="K84" i="7"/>
  <c r="K85" i="7" s="1"/>
  <c r="K184" i="7"/>
  <c r="K187" i="7" s="1"/>
  <c r="K188" i="7" s="1"/>
  <c r="K190" i="7" s="1"/>
  <c r="K191" i="7"/>
  <c r="N87" i="7"/>
  <c r="N88" i="7" s="1"/>
  <c r="N117" i="7"/>
  <c r="N120" i="7" s="1"/>
  <c r="K222" i="7"/>
  <c r="K221" i="7"/>
  <c r="K220" i="7"/>
  <c r="M174" i="7"/>
  <c r="M184" i="7" s="1"/>
  <c r="M187" i="7" s="1"/>
  <c r="N174" i="7"/>
  <c r="N184" i="7" s="1"/>
  <c r="N187" i="7" s="1"/>
  <c r="M87" i="7"/>
  <c r="M88" i="7" s="1"/>
  <c r="M117" i="7" s="1"/>
  <c r="M120" i="7" s="1"/>
  <c r="K87" i="7"/>
  <c r="K88" i="7" s="1"/>
  <c r="M115" i="7"/>
  <c r="M116" i="7" s="1"/>
  <c r="K116" i="7"/>
  <c r="K208" i="4"/>
  <c r="K211" i="4" s="1"/>
  <c r="K212" i="4" s="1"/>
  <c r="K214" i="4" s="1"/>
  <c r="K217" i="4" s="1"/>
  <c r="I215" i="4"/>
  <c r="K177" i="4"/>
  <c r="K176" i="4"/>
  <c r="K175" i="4"/>
  <c r="K166" i="4"/>
  <c r="N163" i="4"/>
  <c r="M163" i="4"/>
  <c r="K163" i="4"/>
  <c r="N162" i="4"/>
  <c r="M162" i="4"/>
  <c r="K162" i="4"/>
  <c r="N159" i="4"/>
  <c r="N160" i="4" s="1"/>
  <c r="M159" i="4"/>
  <c r="N157" i="4"/>
  <c r="K139" i="4"/>
  <c r="M139" i="4" s="1"/>
  <c r="N139" i="4" s="1"/>
  <c r="K138" i="4"/>
  <c r="M138" i="4" s="1"/>
  <c r="N138" i="4" s="1"/>
  <c r="K106" i="4"/>
  <c r="K99" i="4"/>
  <c r="K98" i="4"/>
  <c r="K97" i="4"/>
  <c r="K96" i="4"/>
  <c r="K90" i="4"/>
  <c r="K91" i="4" s="1"/>
  <c r="K82" i="4"/>
  <c r="O80" i="4"/>
  <c r="K80" i="4"/>
  <c r="N79" i="4"/>
  <c r="M79" i="4"/>
  <c r="N78" i="4"/>
  <c r="M78" i="4"/>
  <c r="K55" i="4"/>
  <c r="K45" i="4"/>
  <c r="K13" i="4"/>
  <c r="K219" i="4" l="1"/>
  <c r="K220" i="4"/>
  <c r="K218" i="4"/>
  <c r="K169" i="4"/>
  <c r="K170" i="4" s="1"/>
  <c r="M170" i="4" s="1"/>
  <c r="K164" i="4"/>
  <c r="N180" i="12"/>
  <c r="N183" i="12" s="1"/>
  <c r="N184" i="12" s="1"/>
  <c r="N186" i="12" s="1"/>
  <c r="M123" i="12"/>
  <c r="M124" i="12" s="1"/>
  <c r="M126" i="12" s="1"/>
  <c r="N124" i="12"/>
  <c r="N126" i="12" s="1"/>
  <c r="M180" i="12"/>
  <c r="M183" i="12" s="1"/>
  <c r="N124" i="9"/>
  <c r="N126" i="9" s="1"/>
  <c r="N188" i="9"/>
  <c r="N190" i="9"/>
  <c r="M124" i="9"/>
  <c r="M126" i="9" s="1"/>
  <c r="K191" i="9"/>
  <c r="K193" i="9"/>
  <c r="J236" i="9"/>
  <c r="M184" i="9"/>
  <c r="M187" i="9" s="1"/>
  <c r="K124" i="9"/>
  <c r="K126" i="9" s="1"/>
  <c r="K178" i="4"/>
  <c r="K179" i="4" s="1"/>
  <c r="M179" i="4" s="1"/>
  <c r="N80" i="4"/>
  <c r="N84" i="4" s="1"/>
  <c r="N85" i="4" s="1"/>
  <c r="N87" i="4" s="1"/>
  <c r="N88" i="4" s="1"/>
  <c r="N106" i="4"/>
  <c r="N116" i="4" s="1"/>
  <c r="K116" i="4"/>
  <c r="K100" i="4"/>
  <c r="M98" i="4"/>
  <c r="M100" i="4" s="1"/>
  <c r="K83" i="4"/>
  <c r="K84" i="4" s="1"/>
  <c r="K193" i="7"/>
  <c r="K195" i="7" s="1"/>
  <c r="K117" i="7"/>
  <c r="K120" i="7" s="1"/>
  <c r="K121" i="7" s="1"/>
  <c r="K123" i="7" s="1"/>
  <c r="K223" i="7"/>
  <c r="K224" i="7" s="1"/>
  <c r="K225" i="7" s="1"/>
  <c r="K227" i="7" s="1"/>
  <c r="M188" i="7"/>
  <c r="M190" i="7" s="1"/>
  <c r="N121" i="7"/>
  <c r="N123" i="7"/>
  <c r="M121" i="7"/>
  <c r="M123" i="7" s="1"/>
  <c r="K194" i="7"/>
  <c r="K196" i="7"/>
  <c r="N188" i="7"/>
  <c r="N190" i="7" s="1"/>
  <c r="N96" i="4"/>
  <c r="N100" i="4" s="1"/>
  <c r="K172" i="4"/>
  <c r="K173" i="4" s="1"/>
  <c r="N173" i="4" s="1"/>
  <c r="M164" i="4"/>
  <c r="M80" i="4"/>
  <c r="M84" i="4" s="1"/>
  <c r="M85" i="4" s="1"/>
  <c r="M87" i="4" s="1"/>
  <c r="M88" i="4" s="1"/>
  <c r="M160" i="4"/>
  <c r="N164" i="4"/>
  <c r="K167" i="4"/>
  <c r="N90" i="4"/>
  <c r="N94" i="4" s="1"/>
  <c r="M115" i="4"/>
  <c r="M116" i="4" s="1"/>
  <c r="K93" i="4"/>
  <c r="M157" i="4"/>
  <c r="K221" i="4" l="1"/>
  <c r="K222" i="4" s="1"/>
  <c r="K223" i="4" s="1"/>
  <c r="M167" i="4"/>
  <c r="K180" i="4"/>
  <c r="K183" i="4" s="1"/>
  <c r="K184" i="4" s="1"/>
  <c r="K186" i="4" s="1"/>
  <c r="K187" i="4" s="1"/>
  <c r="K189" i="4" s="1"/>
  <c r="N127" i="12"/>
  <c r="N128" i="12"/>
  <c r="N129" i="12"/>
  <c r="M127" i="12"/>
  <c r="M129" i="12"/>
  <c r="M128" i="12"/>
  <c r="M184" i="12"/>
  <c r="M186" i="12" s="1"/>
  <c r="N187" i="12"/>
  <c r="N189" i="12" s="1"/>
  <c r="K129" i="9"/>
  <c r="K128" i="9"/>
  <c r="K127" i="9"/>
  <c r="K130" i="9" s="1"/>
  <c r="K131" i="9" s="1"/>
  <c r="K132" i="9" s="1"/>
  <c r="J231" i="9" s="1"/>
  <c r="K196" i="9"/>
  <c r="K194" i="9"/>
  <c r="K195" i="9"/>
  <c r="M188" i="9"/>
  <c r="M190" i="9"/>
  <c r="N191" i="9"/>
  <c r="N193" i="9" s="1"/>
  <c r="M127" i="9"/>
  <c r="M129" i="9"/>
  <c r="M128" i="9"/>
  <c r="N127" i="9"/>
  <c r="N128" i="9"/>
  <c r="N129" i="9"/>
  <c r="M173" i="4"/>
  <c r="M180" i="4" s="1"/>
  <c r="M183" i="4" s="1"/>
  <c r="N167" i="4"/>
  <c r="N117" i="4"/>
  <c r="N120" i="4" s="1"/>
  <c r="N121" i="4" s="1"/>
  <c r="N123" i="4" s="1"/>
  <c r="M92" i="4"/>
  <c r="M94" i="4" s="1"/>
  <c r="M117" i="4" s="1"/>
  <c r="M120" i="4" s="1"/>
  <c r="M121" i="4" s="1"/>
  <c r="M123" i="4" s="1"/>
  <c r="K94" i="4"/>
  <c r="K85" i="4"/>
  <c r="K87" i="4" s="1"/>
  <c r="K88" i="4" s="1"/>
  <c r="K226" i="7"/>
  <c r="N191" i="7"/>
  <c r="N193" i="7"/>
  <c r="K124" i="7"/>
  <c r="K126" i="7"/>
  <c r="M124" i="7"/>
  <c r="M126" i="7" s="1"/>
  <c r="M191" i="7"/>
  <c r="M193" i="7" s="1"/>
  <c r="K197" i="7"/>
  <c r="K198" i="7" s="1"/>
  <c r="K199" i="7" s="1"/>
  <c r="K241" i="7"/>
  <c r="J234" i="7"/>
  <c r="N124" i="7"/>
  <c r="N126" i="7" s="1"/>
  <c r="N170" i="4"/>
  <c r="N179" i="4"/>
  <c r="J227" i="12" l="1"/>
  <c r="N130" i="12"/>
  <c r="N131" i="12" s="1"/>
  <c r="N132" i="12" s="1"/>
  <c r="N190" i="12"/>
  <c r="N192" i="12"/>
  <c r="N191" i="12"/>
  <c r="M187" i="12"/>
  <c r="M189" i="12" s="1"/>
  <c r="M130" i="12"/>
  <c r="M131" i="12" s="1"/>
  <c r="M132" i="12" s="1"/>
  <c r="N130" i="9"/>
  <c r="N131" i="9" s="1"/>
  <c r="N132" i="9" s="1"/>
  <c r="M191" i="9"/>
  <c r="M193" i="9" s="1"/>
  <c r="M130" i="9"/>
  <c r="M131" i="9" s="1"/>
  <c r="M132" i="9" s="1"/>
  <c r="N194" i="9"/>
  <c r="N195" i="9"/>
  <c r="N196" i="9"/>
  <c r="K197" i="9"/>
  <c r="K198" i="9" s="1"/>
  <c r="K199" i="9" s="1"/>
  <c r="K117" i="4"/>
  <c r="K120" i="4" s="1"/>
  <c r="M127" i="7"/>
  <c r="M129" i="7"/>
  <c r="M128" i="7"/>
  <c r="N127" i="7"/>
  <c r="N128" i="7"/>
  <c r="N129" i="7"/>
  <c r="M195" i="7"/>
  <c r="M196" i="7"/>
  <c r="M194" i="7"/>
  <c r="K129" i="7"/>
  <c r="K128" i="7"/>
  <c r="K127" i="7"/>
  <c r="J235" i="7"/>
  <c r="N196" i="7"/>
  <c r="N194" i="7"/>
  <c r="N195" i="7"/>
  <c r="J231" i="7"/>
  <c r="N180" i="4"/>
  <c r="N183" i="4" s="1"/>
  <c r="N184" i="4" s="1"/>
  <c r="N186" i="4" s="1"/>
  <c r="N187" i="4" s="1"/>
  <c r="N189" i="4" s="1"/>
  <c r="N124" i="4"/>
  <c r="N126" i="4" s="1"/>
  <c r="K190" i="4"/>
  <c r="K191" i="4"/>
  <c r="K192" i="4"/>
  <c r="M124" i="4"/>
  <c r="M126" i="4" s="1"/>
  <c r="M184" i="4"/>
  <c r="M186" i="4" s="1"/>
  <c r="M192" i="12" l="1"/>
  <c r="M191" i="12"/>
  <c r="M190" i="12"/>
  <c r="J228" i="12"/>
  <c r="N193" i="12"/>
  <c r="N194" i="12" s="1"/>
  <c r="N195" i="12" s="1"/>
  <c r="N196" i="12" s="1"/>
  <c r="M194" i="9"/>
  <c r="M196" i="9"/>
  <c r="M195" i="9"/>
  <c r="N197" i="9"/>
  <c r="N198" i="9" s="1"/>
  <c r="N199" i="9" s="1"/>
  <c r="N200" i="9" s="1"/>
  <c r="J232" i="9"/>
  <c r="K200" i="9"/>
  <c r="K224" i="4"/>
  <c r="K121" i="4"/>
  <c r="K123" i="4" s="1"/>
  <c r="K124" i="4" s="1"/>
  <c r="K126" i="4" s="1"/>
  <c r="K130" i="7"/>
  <c r="K131" i="7" s="1"/>
  <c r="K132" i="7" s="1"/>
  <c r="J230" i="7" s="1"/>
  <c r="J232" i="7" s="1"/>
  <c r="J236" i="7" s="1"/>
  <c r="N130" i="7"/>
  <c r="N131" i="7" s="1"/>
  <c r="N132" i="7" s="1"/>
  <c r="N197" i="7"/>
  <c r="N198" i="7" s="1"/>
  <c r="N199" i="7" s="1"/>
  <c r="N200" i="7" s="1"/>
  <c r="K240" i="7" s="1"/>
  <c r="M197" i="7"/>
  <c r="M198" i="7" s="1"/>
  <c r="M199" i="7" s="1"/>
  <c r="M130" i="7"/>
  <c r="M131" i="7" s="1"/>
  <c r="M132" i="7" s="1"/>
  <c r="N192" i="4"/>
  <c r="N190" i="4"/>
  <c r="N191" i="4"/>
  <c r="M187" i="4"/>
  <c r="M189" i="4" s="1"/>
  <c r="M127" i="4"/>
  <c r="M129" i="4"/>
  <c r="M128" i="4"/>
  <c r="N127" i="4"/>
  <c r="N128" i="4"/>
  <c r="N129" i="4"/>
  <c r="K193" i="4"/>
  <c r="K194" i="4" s="1"/>
  <c r="K195" i="4" s="1"/>
  <c r="J229" i="12" l="1"/>
  <c r="M193" i="12"/>
  <c r="M194" i="12" s="1"/>
  <c r="M195" i="12" s="1"/>
  <c r="M196" i="12" s="1"/>
  <c r="J233" i="9"/>
  <c r="M197" i="9"/>
  <c r="M198" i="9" s="1"/>
  <c r="M199" i="9" s="1"/>
  <c r="M200" i="9" s="1"/>
  <c r="K231" i="7"/>
  <c r="K230" i="7"/>
  <c r="K235" i="7"/>
  <c r="K200" i="7"/>
  <c r="M200" i="7"/>
  <c r="K239" i="7" s="1"/>
  <c r="K242" i="7" s="1"/>
  <c r="J237" i="7"/>
  <c r="K234" i="7"/>
  <c r="K232" i="7"/>
  <c r="M130" i="4"/>
  <c r="M131" i="4" s="1"/>
  <c r="M132" i="4" s="1"/>
  <c r="N130" i="4"/>
  <c r="N131" i="4" s="1"/>
  <c r="N132" i="4" s="1"/>
  <c r="K129" i="4"/>
  <c r="K127" i="4"/>
  <c r="K128" i="4"/>
  <c r="M191" i="4"/>
  <c r="M192" i="4"/>
  <c r="M190" i="4"/>
  <c r="N193" i="4"/>
  <c r="N194" i="4" s="1"/>
  <c r="N195" i="4" s="1"/>
  <c r="J234" i="12" l="1"/>
  <c r="K229" i="12" s="1"/>
  <c r="J237" i="9"/>
  <c r="N196" i="4"/>
  <c r="M193" i="4"/>
  <c r="M194" i="4" s="1"/>
  <c r="M195" i="4" s="1"/>
  <c r="M196" i="4" s="1"/>
  <c r="K130" i="4"/>
  <c r="K131" i="4" s="1"/>
  <c r="K132" i="4" s="1"/>
  <c r="J235" i="12" l="1"/>
  <c r="K231" i="12"/>
  <c r="K233" i="12"/>
  <c r="K227" i="12"/>
  <c r="K228" i="12"/>
  <c r="J238" i="9"/>
  <c r="K235" i="9"/>
  <c r="K236" i="9"/>
  <c r="K231" i="9"/>
  <c r="K232" i="9"/>
  <c r="K233" i="9"/>
  <c r="K196" i="4"/>
  <c r="J229" i="4" l="1"/>
  <c r="J235" i="4" l="1"/>
  <c r="K227" i="4"/>
  <c r="K229" i="4"/>
  <c r="K228" i="4"/>
  <c r="K233" i="4"/>
  <c r="K231" i="4" l="1"/>
</calcChain>
</file>

<file path=xl/sharedStrings.xml><?xml version="1.0" encoding="utf-8"?>
<sst xmlns="http://schemas.openxmlformats.org/spreadsheetml/2006/main" count="1770" uniqueCount="249">
  <si>
    <t>Estado do Rio Grande do Sul</t>
  </si>
  <si>
    <t>MUNICIPIO DE AJURICABA</t>
  </si>
  <si>
    <t>PLANILHA DE COMPOSIÇÃO DE CUSTOS FORMAÇÃO DE PREÇOS</t>
  </si>
  <si>
    <t>CUSTOS FIXOS</t>
  </si>
  <si>
    <t>I - MÃO DE OBRA DIRETA</t>
  </si>
  <si>
    <t>QUANTITATIVOS</t>
  </si>
  <si>
    <t>Motoristas</t>
  </si>
  <si>
    <t>UNIDADE</t>
  </si>
  <si>
    <t>TOTAL</t>
  </si>
  <si>
    <t>funcionários</t>
  </si>
  <si>
    <t>Coletores</t>
  </si>
  <si>
    <t>Total de funcionários</t>
  </si>
  <si>
    <t>func./mês</t>
  </si>
  <si>
    <t>DADOS GERAIS</t>
  </si>
  <si>
    <t>Dias/Mês</t>
  </si>
  <si>
    <t>Feriados trabalhados</t>
  </si>
  <si>
    <t>Taxa de proporcionalidade p/o serviço no município (dias de coleta po mês/dias úteis por mês?</t>
  </si>
  <si>
    <t>%</t>
  </si>
  <si>
    <t>R$/mês</t>
  </si>
  <si>
    <t>Salário base motorista</t>
  </si>
  <si>
    <t>Dias de coleta</t>
  </si>
  <si>
    <t>Adicional de insalubridade do motorista</t>
  </si>
  <si>
    <t>Valor base p/cálculo da insalubridade do motorista</t>
  </si>
  <si>
    <t>Salário base do coletor</t>
  </si>
  <si>
    <t>Adicional de insalubridade do coletor</t>
  </si>
  <si>
    <t>Valor base p/cálculo da insalubridade do coletor</t>
  </si>
  <si>
    <t>Participação do empregado no auxílio alimentação</t>
  </si>
  <si>
    <t>Auxilio alimentação</t>
  </si>
  <si>
    <t>Custo do vale transporte</t>
  </si>
  <si>
    <t>Participação do empregado p/custeio do vale transporte</t>
  </si>
  <si>
    <t>Custo da calça</t>
  </si>
  <si>
    <t>Custo camiseta manga curta</t>
  </si>
  <si>
    <t>Custo camiseta manga longa</t>
  </si>
  <si>
    <t>Custo boné</t>
  </si>
  <si>
    <t>Cuto calçado de segurança</t>
  </si>
  <si>
    <t>Custo capa de chuva PVC</t>
  </si>
  <si>
    <t>Custo luva para o recolhimento residuos sólidos</t>
  </si>
  <si>
    <t>Composição dos Encargos Sociais</t>
  </si>
  <si>
    <t>GRUPO A</t>
  </si>
  <si>
    <t>A2 - FGTS</t>
  </si>
  <si>
    <t>A3 - Salário educação</t>
  </si>
  <si>
    <t>A1 - Seguridade social</t>
  </si>
  <si>
    <t>A4 - SESI/SESC</t>
  </si>
  <si>
    <t>A5 - SENAI/SENAC</t>
  </si>
  <si>
    <t>A6 - INCRA</t>
  </si>
  <si>
    <t>A7 - Risco acidente de trabalho (RAT X FAP)</t>
  </si>
  <si>
    <t>A8 - SEBRAE</t>
  </si>
  <si>
    <t xml:space="preserve">TOTAL DO GRUPO A </t>
  </si>
  <si>
    <t>GRUPO B</t>
  </si>
  <si>
    <t>B1 - 13° Salário</t>
  </si>
  <si>
    <t>B2 - Férias (sem abono de 1/3)</t>
  </si>
  <si>
    <t>B3 - Aviso prévio trabalhado</t>
  </si>
  <si>
    <t>B4 - Auxilio doença</t>
  </si>
  <si>
    <t>B5 - Acidente de trabalho</t>
  </si>
  <si>
    <t>B6 - Faltas legais</t>
  </si>
  <si>
    <t>B7 - Férias sobre licença Maternidade</t>
  </si>
  <si>
    <t>B8 - Licença paternidade</t>
  </si>
  <si>
    <t>TOTAL DO GRUPO B</t>
  </si>
  <si>
    <t>GRUPO C</t>
  </si>
  <si>
    <t>C1 - Aviso prévio indenizado</t>
  </si>
  <si>
    <t>C2 - Indenização adicional</t>
  </si>
  <si>
    <t>C3 - Indenização (rescisão sem justa causa - multa de 40% do FGTS)</t>
  </si>
  <si>
    <t>C4 - Indenização (rescisão sem justa causa - contribuição de 10% do FGTS)</t>
  </si>
  <si>
    <t>C5 - Abono de férias - 1/3 cosntitucional</t>
  </si>
  <si>
    <t>C6 - Abono de férias - 1/3 constitucional s/licença maternidade</t>
  </si>
  <si>
    <t xml:space="preserve">TOTAL DO GRUPO C </t>
  </si>
  <si>
    <t>GRUPO D</t>
  </si>
  <si>
    <t>D1 - Incidência dos encargos do grupo A sobre grupo B</t>
  </si>
  <si>
    <t>TOTAL DO GRUPO D</t>
  </si>
  <si>
    <t xml:space="preserve">GRUPO E </t>
  </si>
  <si>
    <t>E1 - Incidência do FGTS s/o aviso prévio indenizado</t>
  </si>
  <si>
    <t>E2 - Incidência do FGTS s/o período médio de afastamento superior a 15 dias motivado por acidente do trabalho</t>
  </si>
  <si>
    <t>E3 - Incidência de FGTS s/férias 1/3 constitucional</t>
  </si>
  <si>
    <t>TOTAL DO GRUPO E</t>
  </si>
  <si>
    <t>GRUPO F</t>
  </si>
  <si>
    <t>F1 - Incidência dos encargos do grupo A sobre os valores constantes da base cálculo referente ao salário maternidade</t>
  </si>
  <si>
    <t>TOTAL DO GRUPO F</t>
  </si>
  <si>
    <t xml:space="preserve">TOTAL DOS ENCARGOS SOCIAIS </t>
  </si>
  <si>
    <t>COMPOSIÇÃO</t>
  </si>
  <si>
    <t>SALÁRIOS</t>
  </si>
  <si>
    <t>Insalubridade</t>
  </si>
  <si>
    <t>Feriados trabalhados 100% (feriados que vão coincidir com dias da coleta)</t>
  </si>
  <si>
    <t>a) Motorista</t>
  </si>
  <si>
    <t xml:space="preserve">b) Coletores </t>
  </si>
  <si>
    <t>Custo de salários</t>
  </si>
  <si>
    <t>Total custo salários proporcional ao serviço no Município</t>
  </si>
  <si>
    <t>ENCARGOS SOCIAIS</t>
  </si>
  <si>
    <t>Custo de encargos sociais</t>
  </si>
  <si>
    <t>Total custo encargos sociais</t>
  </si>
  <si>
    <t>AUXÍLIO ALIMENTAÇÃO</t>
  </si>
  <si>
    <t>Participação do empregado no vale alimentação</t>
  </si>
  <si>
    <t>Total custo auxilio alimentação</t>
  </si>
  <si>
    <t>VALE TRANSPORTE</t>
  </si>
  <si>
    <t>Desconto legal para custeio do vale transporte</t>
  </si>
  <si>
    <t>Total custo vale transporte</t>
  </si>
  <si>
    <t>UNIFORMES/EPIs</t>
  </si>
  <si>
    <t>Calça</t>
  </si>
  <si>
    <t>Camiseta manga curta</t>
  </si>
  <si>
    <t>Calçado de segurança</t>
  </si>
  <si>
    <t>Total uniformes Motorista</t>
  </si>
  <si>
    <t>Camiseta manga longa</t>
  </si>
  <si>
    <t>Boné</t>
  </si>
  <si>
    <t>Capa de Chuva PVC</t>
  </si>
  <si>
    <t>Luva para recolhimento residuo solido urbano</t>
  </si>
  <si>
    <t>Total uniformes Coletores</t>
  </si>
  <si>
    <t>Total custo uniformes/EPIs</t>
  </si>
  <si>
    <t>CUSTO DE MÃO DE OBRA DIRETA</t>
  </si>
  <si>
    <t>BONIFICAÇÕES E DESPESAS INDIRETAS</t>
  </si>
  <si>
    <t>DESPESAS ADMINISTRATIVAS</t>
  </si>
  <si>
    <t>Somatório custos</t>
  </si>
  <si>
    <t>Despesas administrativas</t>
  </si>
  <si>
    <t>LUCRO</t>
  </si>
  <si>
    <t>Somatório custos e despesas administrativas</t>
  </si>
  <si>
    <t>Lucro</t>
  </si>
  <si>
    <t>TRIBUTOS SOBRE O FATURAMENTO</t>
  </si>
  <si>
    <t>Somatório custos, despesas administrativas, lucro</t>
  </si>
  <si>
    <t>COFINS</t>
  </si>
  <si>
    <t>PIS</t>
  </si>
  <si>
    <t>ISS</t>
  </si>
  <si>
    <t>Tributos sobre o faturamento</t>
  </si>
  <si>
    <t>TOTAL BONIFICAÇÕES E DESPESAS INDIRETAS</t>
  </si>
  <si>
    <t>VALOR MENSAL DE MÃO DE OBRA DIRETA</t>
  </si>
  <si>
    <t>II - VEÍCULOS E EQUIPAMENTOS</t>
  </si>
  <si>
    <t>Quilometragem diária coleta urbana</t>
  </si>
  <si>
    <t>Quilometragem diária destinação final (ir e vir)</t>
  </si>
  <si>
    <t>Veículo com caçamba</t>
  </si>
  <si>
    <t>Dias de coleta/Mês</t>
  </si>
  <si>
    <t>Taxa de proporcionalidade p/ o serviço no Município</t>
  </si>
  <si>
    <t>Quilometragem para coleta urbana</t>
  </si>
  <si>
    <t>Quilometragem para destinação final</t>
  </si>
  <si>
    <t>Custo veículo coleta</t>
  </si>
  <si>
    <t>Custo do diesel</t>
  </si>
  <si>
    <t>Custo de um pneu novo</t>
  </si>
  <si>
    <t>Custo de uma recapagem de pneu</t>
  </si>
  <si>
    <t>Custo seguro obrigatório (DPVAT) Caminhões</t>
  </si>
  <si>
    <t>Taxa de expedição do documento (CRLV)</t>
  </si>
  <si>
    <t>IPVA</t>
  </si>
  <si>
    <t>Coeficiente de consumo combustível</t>
  </si>
  <si>
    <t>Coeficiente de Consumo de Óleos Lubrificantes</t>
  </si>
  <si>
    <t>Vida útil pneus (com as recapagens)</t>
  </si>
  <si>
    <t>Coeficiente de consumo de peças e acessórios</t>
  </si>
  <si>
    <t>Fator de depreciação</t>
  </si>
  <si>
    <t>Fator de remuneração</t>
  </si>
  <si>
    <t>COMBUSTÍVEL</t>
  </si>
  <si>
    <t>Total custo combustível</t>
  </si>
  <si>
    <t>ÓLEOS/LUBRIFICANTES</t>
  </si>
  <si>
    <t>Custo de óleos/lubrificantes</t>
  </si>
  <si>
    <t>Total custo óleos/lubrificantes</t>
  </si>
  <si>
    <t>CUSTO DE RODAGEM</t>
  </si>
  <si>
    <t>Pneu</t>
  </si>
  <si>
    <t>Recapagem pneu</t>
  </si>
  <si>
    <t>Total custo rodagem</t>
  </si>
  <si>
    <t>PEÇAS E ACESSORIOS</t>
  </si>
  <si>
    <t>Custo total com peças e acessórios</t>
  </si>
  <si>
    <t>Total custo peças e acessórios proporcional ao serviço no Município</t>
  </si>
  <si>
    <t>DEPRECIAÇÃO</t>
  </si>
  <si>
    <t xml:space="preserve">Custo de depreciação dos veículos </t>
  </si>
  <si>
    <t>Total custo depreciação proporcional ao serviço no Município</t>
  </si>
  <si>
    <t>REMUNERAÇÃO</t>
  </si>
  <si>
    <t>Custo de remuneração dos veículos</t>
  </si>
  <si>
    <t>Total custo remuneração proporcional ao serviço no Município</t>
  </si>
  <si>
    <t>LICENCIAMENTO E SEGURO</t>
  </si>
  <si>
    <t>Custo seguro obrigatório (DPVAT)</t>
  </si>
  <si>
    <t>Custo taxa de expedição de documento (CRLV)</t>
  </si>
  <si>
    <t>Custo IPVA</t>
  </si>
  <si>
    <t>Custo de licenciamento e seguro</t>
  </si>
  <si>
    <t>Total custo licenciamento e seguro proporcional ao serviço no Município</t>
  </si>
  <si>
    <t>CUSTO DE VEÍCULOS E EQUIPAMENTOS</t>
  </si>
  <si>
    <t>VALOR MENSAL DE VEÍCULOS E EQUIPAMENTOS</t>
  </si>
  <si>
    <t>TOTAL DE PREÇO FIXO</t>
  </si>
  <si>
    <t>CUSTOS VARIAVEIS</t>
  </si>
  <si>
    <t>III - DESTINAÇÃO FINAL</t>
  </si>
  <si>
    <t>Tonelagem mensal de RSU</t>
  </si>
  <si>
    <t>Custo da destinação final por empresa licenciada</t>
  </si>
  <si>
    <t>DESTINAÇÃO FINAL</t>
  </si>
  <si>
    <t>Custo de destinação final</t>
  </si>
  <si>
    <t>CUSTO DE DESTINAÇÃO FINAL</t>
  </si>
  <si>
    <t>VALOR MENSAL DE DESTINAÇÃO FINAL</t>
  </si>
  <si>
    <t>TOTAL DE PREÇO VARIÁVEL</t>
  </si>
  <si>
    <t>TOTAL DE PREÇO POR TONELADA</t>
  </si>
  <si>
    <t>1. PREÇO FIXO</t>
  </si>
  <si>
    <t>ITEM I - MÃO DE OBRA DIRETA</t>
  </si>
  <si>
    <t>ITEM II - VEÍCULOS/EQUIPAMENTOS</t>
  </si>
  <si>
    <t>TOTAL PREÇO FIXO</t>
  </si>
  <si>
    <t>2. PREÇO VARIÁVEL</t>
  </si>
  <si>
    <t>ITEM III - DESTINAÇÃO FINAL</t>
  </si>
  <si>
    <t>TOTAL PREÇO VARIÁVEL</t>
  </si>
  <si>
    <t>VALOR MENSAL ESTIMADO DOS SERVIÇOS</t>
  </si>
  <si>
    <t>VALOR ANUAL ESTIMADO DOS SERVIÇOS</t>
  </si>
  <si>
    <t>1 - O preço fixo será remunerado mensalmente, independente da quantidade de toneladas transportadas, não se afastando a possibilidade de glosas, caso algum(s) custo(s) não se efetive(m) ou não seja(m) comprovado(s) pela empresa.</t>
  </si>
  <si>
    <t>2 - O preço variável será remunerado de acordo com a tonelagem efetivamente transportada e destinada, a qual será aferida pela municipalidade e multiplicada pelo preço por tonelada, não se afastando a possibilidade de glosas, caso algum(s) custo(s) não se efetive(m) ou não seja(m) comprovado(s) pela empresa.</t>
  </si>
  <si>
    <t>R$/Mês</t>
  </si>
  <si>
    <t>2 Un./Ano</t>
  </si>
  <si>
    <t>R$/mês/func.</t>
  </si>
  <si>
    <t>6 Un./ano</t>
  </si>
  <si>
    <t>QUANTIDADE</t>
  </si>
  <si>
    <t>36 Un./ano</t>
  </si>
  <si>
    <t>Km/dia</t>
  </si>
  <si>
    <t>Dias/mês</t>
  </si>
  <si>
    <t>Km/mês</t>
  </si>
  <si>
    <t>103a</t>
  </si>
  <si>
    <t>Quilometragem diária coleta urbana LINHA 26 (2 vezes ao mês/24 vezes ao ano)</t>
  </si>
  <si>
    <t>104a</t>
  </si>
  <si>
    <t>Quilometragem diária destinação final (ir e vir) interior (2 vezes ao mês)</t>
  </si>
  <si>
    <t>R$/un.</t>
  </si>
  <si>
    <t>Custo caçamba</t>
  </si>
  <si>
    <t>R$/l.</t>
  </si>
  <si>
    <t>R$/ano/veículo</t>
  </si>
  <si>
    <t>L/Km</t>
  </si>
  <si>
    <t>Km</t>
  </si>
  <si>
    <t>%/mês</t>
  </si>
  <si>
    <t>R$/Km</t>
  </si>
  <si>
    <t>6 un.</t>
  </si>
  <si>
    <t>R$/jogo</t>
  </si>
  <si>
    <t>2 recap.</t>
  </si>
  <si>
    <t>R$ c/recap.</t>
  </si>
  <si>
    <t xml:space="preserve">R$/mês </t>
  </si>
  <si>
    <t>ton</t>
  </si>
  <si>
    <t>R$/t</t>
  </si>
  <si>
    <t>R$/ton</t>
  </si>
  <si>
    <t>R$</t>
  </si>
  <si>
    <t>CONSOLIDAÇÃO I</t>
  </si>
  <si>
    <t>CONSOLIDAÇÃO II</t>
  </si>
  <si>
    <t>VALOR COLETA</t>
  </si>
  <si>
    <t>VALOR TRANSPORTE</t>
  </si>
  <si>
    <t>VALOR DESTINAÇÃO FINAL</t>
  </si>
  <si>
    <t>Veículos</t>
  </si>
  <si>
    <t xml:space="preserve">COLETA </t>
  </si>
  <si>
    <t>TRANSPORTE</t>
  </si>
  <si>
    <t>COLETA, TRANSPORTE E DESTINO FINAL DE RESIDUOS HOSPITALARES TIPO A - B - E</t>
  </si>
  <si>
    <t>2 Un./ano</t>
  </si>
  <si>
    <t>12 Un./ano</t>
  </si>
  <si>
    <t>III - TRATAMENTO E DISPOSIÇÃO FINAL</t>
  </si>
  <si>
    <t>litros</t>
  </si>
  <si>
    <t xml:space="preserve">Grupos A e E </t>
  </si>
  <si>
    <t xml:space="preserve">Grupo B </t>
  </si>
  <si>
    <t>Custo do Tratamento e Disposição Final Grupo B</t>
  </si>
  <si>
    <t>Custo do Tratamento e Disposição Final Grupos A e E</t>
  </si>
  <si>
    <t>R$/litros</t>
  </si>
  <si>
    <t>2 - O preço variável será remunerado de acordo com a quantidade de litros efetivamente transportada e destinada, a qual será aferida pela municipalidade e multiplicada pelo preço por litro, não se afastando a possibilidade de glosas, caso algum(s) custo(s) não se efetive(m) ou não seja(m) comprovado(s) pela empresa.</t>
  </si>
  <si>
    <t>Quilometragem para coleta disposição final</t>
  </si>
  <si>
    <t>CUSTO DE DISPOSIÇÃO FINAL</t>
  </si>
  <si>
    <t>Custo de tratamento e disposição final</t>
  </si>
  <si>
    <t>ITEM III - TRATAMENTO E DISPOSIÇÃO FINAL</t>
  </si>
  <si>
    <t>VALOR MENSAL DE TRATAMENTO E DISPOSIÇÃO FINAL</t>
  </si>
  <si>
    <t>CUSTO DE TRATAMENTO E DISPOSIÇÃO FINAL</t>
  </si>
  <si>
    <t xml:space="preserve">(-) (+) AJUSTE ARREDONDAMENTO </t>
  </si>
  <si>
    <t>Veículo com Baú (incluso comodato de 4 bombonas de 200 litros)</t>
  </si>
  <si>
    <t>Custo Baú (incluso comodato de 4 bombonas de 200 litros)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</si>
</sst>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R$&quot;\ * #,##0.00_ ;_ &quot;R$&quot;\ * \-#,##0.00_ ;_ &quot;R$&quot;\ * &quot;-&quot;??_ ;_ @_ "/>
    <numFmt numFmtId="165" formatCode="_ * #,##0.00_ ;_ * \-#,##0.00_ ;_ * &quot;-&quot;??_ ;_ @_ "/>
    <numFmt numFmtId="166" formatCode="&quot;R$&quot;\ #,##0.00"/>
    <numFmt numFmtId="167" formatCode="_ * #,##0_ ;_ * \-#,##0_ ;_ * &quot;-&quot;??_ ;_ @_ "/>
    <numFmt numFmtId="168" formatCode="&quot;R$&quot;\ #,##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sz val="16"/>
      <color theme="1"/>
      <name val="Comic Sans MS"/>
      <family val="4"/>
    </font>
    <font>
      <sz val="9"/>
      <name val="Comic Sans MS"/>
      <family val="4"/>
    </font>
    <font>
      <sz val="9"/>
      <color rgb="FFFF000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166" fontId="2" fillId="2" borderId="0" xfId="1" applyNumberFormat="1" applyFont="1" applyFill="1" applyAlignment="1">
      <alignment horizontal="right" vertical="center"/>
    </xf>
    <xf numFmtId="10" fontId="2" fillId="2" borderId="0" xfId="2" applyNumberFormat="1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/>
    </xf>
    <xf numFmtId="166" fontId="2" fillId="2" borderId="0" xfId="0" applyNumberFormat="1" applyFont="1" applyFill="1"/>
    <xf numFmtId="166" fontId="3" fillId="2" borderId="0" xfId="0" applyNumberFormat="1" applyFont="1" applyFill="1" applyAlignment="1">
      <alignment horizontal="right" vertical="center"/>
    </xf>
    <xf numFmtId="10" fontId="2" fillId="2" borderId="0" xfId="0" applyNumberFormat="1" applyFont="1" applyFill="1"/>
    <xf numFmtId="10" fontId="3" fillId="2" borderId="0" xfId="0" applyNumberFormat="1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10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 vertical="center"/>
    </xf>
    <xf numFmtId="165" fontId="2" fillId="2" borderId="0" xfId="3" applyNumberFormat="1" applyFont="1" applyFill="1" applyAlignment="1">
      <alignment horizontal="right" vertical="center"/>
    </xf>
    <xf numFmtId="167" fontId="2" fillId="2" borderId="0" xfId="3" applyNumberFormat="1" applyFont="1" applyFill="1" applyAlignment="1">
      <alignment horizontal="right"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166" fontId="3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0" fontId="4" fillId="2" borderId="0" xfId="0" applyFont="1" applyFill="1"/>
    <xf numFmtId="166" fontId="2" fillId="2" borderId="1" xfId="0" applyNumberFormat="1" applyFont="1" applyFill="1" applyBorder="1" applyAlignment="1">
      <alignment horizontal="right" vertical="center"/>
    </xf>
    <xf numFmtId="164" fontId="2" fillId="2" borderId="0" xfId="1" applyFont="1" applyFill="1"/>
    <xf numFmtId="166" fontId="3" fillId="2" borderId="0" xfId="0" applyNumberFormat="1" applyFont="1" applyFill="1" applyBorder="1" applyAlignment="1">
      <alignment horizontal="right" vertical="center"/>
    </xf>
    <xf numFmtId="0" fontId="2" fillId="2" borderId="2" xfId="0" applyFont="1" applyFill="1" applyBorder="1"/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166" fontId="2" fillId="2" borderId="2" xfId="0" applyNumberFormat="1" applyFont="1" applyFill="1" applyBorder="1" applyAlignment="1">
      <alignment horizontal="right" vertical="center"/>
    </xf>
    <xf numFmtId="166" fontId="3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10" fontId="2" fillId="2" borderId="0" xfId="2" applyNumberFormat="1" applyFont="1" applyFill="1" applyBorder="1" applyAlignment="1">
      <alignment horizontal="right" vertical="center"/>
    </xf>
    <xf numFmtId="10" fontId="2" fillId="2" borderId="1" xfId="2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0" fontId="5" fillId="2" borderId="0" xfId="0" applyNumberFormat="1" applyFont="1" applyFill="1" applyAlignment="1">
      <alignment horizontal="right" vertical="center"/>
    </xf>
    <xf numFmtId="166" fontId="3" fillId="2" borderId="0" xfId="0" applyNumberFormat="1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168" fontId="2" fillId="2" borderId="0" xfId="0" applyNumberFormat="1" applyFont="1" applyFill="1"/>
    <xf numFmtId="166" fontId="6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70284</xdr:rowOff>
    </xdr:from>
    <xdr:to>
      <xdr:col>2</xdr:col>
      <xdr:colOff>219075</xdr:colOff>
      <xdr:row>2</xdr:row>
      <xdr:rowOff>275386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51259"/>
          <a:ext cx="590550" cy="509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70284</xdr:rowOff>
    </xdr:from>
    <xdr:to>
      <xdr:col>2</xdr:col>
      <xdr:colOff>219075</xdr:colOff>
      <xdr:row>2</xdr:row>
      <xdr:rowOff>275386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51259"/>
          <a:ext cx="590550" cy="509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70284</xdr:rowOff>
    </xdr:from>
    <xdr:to>
      <xdr:col>2</xdr:col>
      <xdr:colOff>219075</xdr:colOff>
      <xdr:row>2</xdr:row>
      <xdr:rowOff>275386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51259"/>
          <a:ext cx="590550" cy="509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70284</xdr:rowOff>
    </xdr:from>
    <xdr:to>
      <xdr:col>2</xdr:col>
      <xdr:colOff>219075</xdr:colOff>
      <xdr:row>2</xdr:row>
      <xdr:rowOff>275386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51259"/>
          <a:ext cx="590550" cy="509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1"/>
  <sheetViews>
    <sheetView topLeftCell="A205" workbookViewId="0">
      <selection activeCell="Q227" sqref="Q227"/>
    </sheetView>
  </sheetViews>
  <sheetFormatPr defaultColWidth="9.109375" defaultRowHeight="13.2" x14ac:dyDescent="0.3"/>
  <cols>
    <col min="1" max="1" width="4.109375" style="1" customWidth="1"/>
    <col min="2" max="2" width="9.109375" style="1"/>
    <col min="3" max="3" width="4.88671875" style="1" customWidth="1"/>
    <col min="4" max="6" width="9.109375" style="1"/>
    <col min="7" max="7" width="40.5546875" style="1" customWidth="1"/>
    <col min="8" max="8" width="11.109375" style="1" hidden="1" customWidth="1"/>
    <col min="9" max="9" width="13.5546875" style="1" bestFit="1" customWidth="1"/>
    <col min="10" max="10" width="13.33203125" style="2" customWidth="1"/>
    <col min="11" max="11" width="13.33203125" style="3" customWidth="1"/>
    <col min="12" max="12" width="5" style="3" hidden="1" customWidth="1"/>
    <col min="13" max="14" width="14.5546875" style="1" hidden="1" customWidth="1"/>
    <col min="15" max="15" width="12.88671875" style="1" hidden="1" customWidth="1"/>
    <col min="16" max="16" width="0" style="1" hidden="1" customWidth="1"/>
    <col min="17" max="17" width="10.5546875" style="1" bestFit="1" customWidth="1"/>
    <col min="18" max="16384" width="9.109375" style="1"/>
  </cols>
  <sheetData>
    <row r="2" spans="2:15" ht="24" x14ac:dyDescent="0.45">
      <c r="E2" s="32" t="s">
        <v>0</v>
      </c>
    </row>
    <row r="3" spans="2:15" ht="24" x14ac:dyDescent="0.45">
      <c r="E3" s="32" t="s">
        <v>1</v>
      </c>
    </row>
    <row r="5" spans="2:15" ht="14.25" x14ac:dyDescent="0.3">
      <c r="B5" s="57" t="s">
        <v>229</v>
      </c>
      <c r="C5" s="57"/>
      <c r="D5" s="57"/>
      <c r="E5" s="57"/>
      <c r="F5" s="57"/>
      <c r="G5" s="57"/>
      <c r="H5" s="57"/>
      <c r="I5" s="57"/>
      <c r="J5" s="57"/>
      <c r="K5" s="57"/>
      <c r="L5" s="52"/>
    </row>
    <row r="6" spans="2:15" x14ac:dyDescent="0.3">
      <c r="B6" s="57" t="s">
        <v>2</v>
      </c>
      <c r="C6" s="57"/>
      <c r="D6" s="57"/>
      <c r="E6" s="57"/>
      <c r="F6" s="57"/>
      <c r="G6" s="57"/>
      <c r="H6" s="57"/>
      <c r="I6" s="57"/>
      <c r="J6" s="57"/>
      <c r="K6" s="57"/>
      <c r="L6" s="52"/>
    </row>
    <row r="8" spans="2:15" ht="14.25" x14ac:dyDescent="0.3">
      <c r="B8" s="4" t="s">
        <v>3</v>
      </c>
    </row>
    <row r="9" spans="2:15" ht="14.4" x14ac:dyDescent="0.35">
      <c r="B9" s="4" t="s">
        <v>4</v>
      </c>
    </row>
    <row r="10" spans="2:15" ht="14.25" hidden="1" x14ac:dyDescent="0.3">
      <c r="D10" s="1" t="s">
        <v>5</v>
      </c>
      <c r="J10" s="2" t="s">
        <v>7</v>
      </c>
      <c r="K10" s="3" t="s">
        <v>8</v>
      </c>
      <c r="M10" s="52" t="s">
        <v>227</v>
      </c>
      <c r="N10" s="52" t="s">
        <v>228</v>
      </c>
      <c r="O10" s="52"/>
    </row>
    <row r="11" spans="2:15" ht="14.25" hidden="1" x14ac:dyDescent="0.3">
      <c r="D11" s="1" t="s">
        <v>6</v>
      </c>
      <c r="J11" s="2" t="s">
        <v>9</v>
      </c>
      <c r="K11" s="3">
        <v>1</v>
      </c>
    </row>
    <row r="12" spans="2:15" ht="14.25" hidden="1" x14ac:dyDescent="0.3">
      <c r="D12" s="1" t="s">
        <v>10</v>
      </c>
      <c r="J12" s="2" t="s">
        <v>9</v>
      </c>
      <c r="K12" s="3">
        <v>1</v>
      </c>
    </row>
    <row r="13" spans="2:15" ht="14.25" hidden="1" x14ac:dyDescent="0.3">
      <c r="D13" s="4" t="s">
        <v>11</v>
      </c>
      <c r="E13" s="4"/>
      <c r="F13" s="4"/>
      <c r="G13" s="4"/>
      <c r="H13" s="4"/>
      <c r="I13" s="4"/>
      <c r="J13" s="5" t="s">
        <v>12</v>
      </c>
      <c r="K13" s="6">
        <f>K11+K12</f>
        <v>2</v>
      </c>
      <c r="L13" s="6"/>
    </row>
    <row r="14" spans="2:15" ht="14.25" hidden="1" x14ac:dyDescent="0.3">
      <c r="D14" s="4" t="s">
        <v>13</v>
      </c>
      <c r="J14" s="5" t="s">
        <v>7</v>
      </c>
      <c r="K14" s="6" t="s">
        <v>8</v>
      </c>
      <c r="L14" s="6"/>
    </row>
    <row r="15" spans="2:15" ht="14.25" hidden="1" x14ac:dyDescent="0.3">
      <c r="D15" s="1" t="s">
        <v>20</v>
      </c>
      <c r="J15" s="2" t="s">
        <v>14</v>
      </c>
      <c r="K15" s="45">
        <v>2</v>
      </c>
      <c r="L15" s="45"/>
    </row>
    <row r="16" spans="2:15" ht="14.25" hidden="1" x14ac:dyDescent="0.3">
      <c r="D16" s="1" t="s">
        <v>15</v>
      </c>
      <c r="J16" s="2" t="s">
        <v>14</v>
      </c>
      <c r="K16" s="45">
        <v>0</v>
      </c>
      <c r="L16" s="45"/>
    </row>
    <row r="17" spans="3:12" ht="24" hidden="1" customHeight="1" x14ac:dyDescent="0.3">
      <c r="C17" s="7"/>
      <c r="D17" s="58" t="s">
        <v>16</v>
      </c>
      <c r="E17" s="58"/>
      <c r="F17" s="58"/>
      <c r="G17" s="58"/>
      <c r="H17" s="58"/>
      <c r="I17" s="53"/>
      <c r="J17" s="2" t="s">
        <v>17</v>
      </c>
      <c r="K17" s="46">
        <f>6/252</f>
        <v>2.3809523809523808E-2</v>
      </c>
      <c r="L17" s="46"/>
    </row>
    <row r="18" spans="3:12" ht="14.25" hidden="1" x14ac:dyDescent="0.3">
      <c r="D18" s="7" t="s">
        <v>19</v>
      </c>
      <c r="E18" s="8"/>
      <c r="F18" s="8"/>
      <c r="G18" s="8"/>
      <c r="H18" s="8"/>
      <c r="I18" s="8"/>
      <c r="J18" s="2" t="s">
        <v>18</v>
      </c>
      <c r="K18" s="9">
        <v>1615.11</v>
      </c>
      <c r="L18" s="9"/>
    </row>
    <row r="19" spans="3:12" ht="14.25" hidden="1" x14ac:dyDescent="0.3">
      <c r="D19" s="1" t="s">
        <v>21</v>
      </c>
      <c r="J19" s="2" t="s">
        <v>17</v>
      </c>
      <c r="K19" s="10">
        <v>0.4</v>
      </c>
      <c r="L19" s="10"/>
    </row>
    <row r="20" spans="3:12" ht="14.25" hidden="1" x14ac:dyDescent="0.3">
      <c r="D20" s="1" t="s">
        <v>22</v>
      </c>
      <c r="J20" s="2" t="s">
        <v>18</v>
      </c>
      <c r="K20" s="9">
        <v>937</v>
      </c>
      <c r="L20" s="9"/>
    </row>
    <row r="21" spans="3:12" ht="14.25" hidden="1" x14ac:dyDescent="0.3">
      <c r="D21" s="1" t="s">
        <v>23</v>
      </c>
      <c r="J21" s="2" t="s">
        <v>18</v>
      </c>
      <c r="K21" s="9">
        <v>1172.97</v>
      </c>
      <c r="L21" s="9"/>
    </row>
    <row r="22" spans="3:12" ht="14.25" hidden="1" x14ac:dyDescent="0.3">
      <c r="D22" s="1" t="s">
        <v>24</v>
      </c>
      <c r="J22" s="2" t="s">
        <v>17</v>
      </c>
      <c r="K22" s="10">
        <v>0.4</v>
      </c>
      <c r="L22" s="10"/>
    </row>
    <row r="23" spans="3:12" ht="14.25" hidden="1" x14ac:dyDescent="0.3">
      <c r="D23" s="1" t="s">
        <v>25</v>
      </c>
      <c r="J23" s="2" t="s">
        <v>18</v>
      </c>
      <c r="K23" s="11">
        <v>1172.97</v>
      </c>
      <c r="L23" s="11"/>
    </row>
    <row r="24" spans="3:12" ht="14.25" hidden="1" x14ac:dyDescent="0.3">
      <c r="D24" s="1" t="s">
        <v>27</v>
      </c>
      <c r="J24" s="2" t="s">
        <v>18</v>
      </c>
      <c r="K24" s="11">
        <v>15.55</v>
      </c>
      <c r="L24" s="11"/>
    </row>
    <row r="25" spans="3:12" ht="14.25" hidden="1" x14ac:dyDescent="0.3">
      <c r="D25" s="1" t="s">
        <v>26</v>
      </c>
      <c r="J25" s="2" t="s">
        <v>17</v>
      </c>
      <c r="K25" s="10">
        <v>0.17499999999999999</v>
      </c>
      <c r="L25" s="10"/>
    </row>
    <row r="26" spans="3:12" ht="14.25" hidden="1" x14ac:dyDescent="0.3">
      <c r="D26" s="1" t="s">
        <v>28</v>
      </c>
      <c r="J26" s="2" t="s">
        <v>18</v>
      </c>
      <c r="K26" s="11">
        <v>3</v>
      </c>
      <c r="L26" s="11"/>
    </row>
    <row r="27" spans="3:12" ht="14.25" hidden="1" x14ac:dyDescent="0.3">
      <c r="D27" s="1" t="s">
        <v>29</v>
      </c>
      <c r="J27" s="2" t="s">
        <v>17</v>
      </c>
      <c r="K27" s="10">
        <v>0.06</v>
      </c>
      <c r="L27" s="10"/>
    </row>
    <row r="28" spans="3:12" ht="14.25" hidden="1" x14ac:dyDescent="0.3">
      <c r="D28" s="1" t="s">
        <v>30</v>
      </c>
      <c r="J28" s="2" t="s">
        <v>18</v>
      </c>
      <c r="K28" s="11">
        <v>39</v>
      </c>
      <c r="L28" s="11"/>
    </row>
    <row r="29" spans="3:12" ht="14.25" hidden="1" x14ac:dyDescent="0.3">
      <c r="D29" s="1" t="s">
        <v>31</v>
      </c>
      <c r="J29" s="2" t="s">
        <v>18</v>
      </c>
      <c r="K29" s="11">
        <v>34</v>
      </c>
      <c r="L29" s="11"/>
    </row>
    <row r="30" spans="3:12" ht="14.25" hidden="1" x14ac:dyDescent="0.3">
      <c r="D30" s="1" t="s">
        <v>32</v>
      </c>
      <c r="J30" s="2" t="s">
        <v>18</v>
      </c>
      <c r="K30" s="11">
        <v>39.5</v>
      </c>
      <c r="L30" s="11"/>
    </row>
    <row r="31" spans="3:12" ht="14.25" hidden="1" x14ac:dyDescent="0.3">
      <c r="D31" s="1" t="s">
        <v>33</v>
      </c>
      <c r="J31" s="2" t="s">
        <v>18</v>
      </c>
      <c r="K31" s="11">
        <v>11.33</v>
      </c>
      <c r="L31" s="11"/>
    </row>
    <row r="32" spans="3:12" ht="14.25" hidden="1" x14ac:dyDescent="0.3">
      <c r="D32" s="1" t="s">
        <v>34</v>
      </c>
      <c r="J32" s="2" t="s">
        <v>18</v>
      </c>
      <c r="K32" s="11">
        <v>42.67</v>
      </c>
      <c r="L32" s="11"/>
    </row>
    <row r="33" spans="4:12" ht="14.25" hidden="1" x14ac:dyDescent="0.3">
      <c r="D33" s="1" t="s">
        <v>35</v>
      </c>
      <c r="J33" s="2" t="s">
        <v>18</v>
      </c>
      <c r="K33" s="11">
        <v>29.67</v>
      </c>
      <c r="L33" s="11"/>
    </row>
    <row r="34" spans="4:12" ht="14.25" hidden="1" x14ac:dyDescent="0.3">
      <c r="D34" s="1" t="s">
        <v>36</v>
      </c>
      <c r="J34" s="2" t="s">
        <v>18</v>
      </c>
      <c r="K34" s="11">
        <v>11.63</v>
      </c>
      <c r="L34" s="11"/>
    </row>
    <row r="35" spans="4:12" ht="14.25" hidden="1" x14ac:dyDescent="0.3">
      <c r="D35" s="1" t="s">
        <v>37</v>
      </c>
    </row>
    <row r="36" spans="4:12" ht="14.25" hidden="1" x14ac:dyDescent="0.3">
      <c r="D36" s="1" t="s">
        <v>38</v>
      </c>
    </row>
    <row r="37" spans="4:12" ht="14.25" hidden="1" x14ac:dyDescent="0.3">
      <c r="D37" s="1" t="s">
        <v>41</v>
      </c>
      <c r="J37" s="2" t="s">
        <v>17</v>
      </c>
      <c r="K37" s="10">
        <v>0.2</v>
      </c>
      <c r="L37" s="10"/>
    </row>
    <row r="38" spans="4:12" ht="14.25" hidden="1" x14ac:dyDescent="0.3">
      <c r="D38" s="1" t="s">
        <v>39</v>
      </c>
      <c r="J38" s="2" t="s">
        <v>17</v>
      </c>
      <c r="K38" s="10">
        <v>0.08</v>
      </c>
      <c r="L38" s="10"/>
    </row>
    <row r="39" spans="4:12" ht="14.25" hidden="1" x14ac:dyDescent="0.3">
      <c r="D39" s="1" t="s">
        <v>40</v>
      </c>
      <c r="J39" s="2" t="s">
        <v>17</v>
      </c>
      <c r="K39" s="10">
        <v>2.5000000000000001E-2</v>
      </c>
      <c r="L39" s="10"/>
    </row>
    <row r="40" spans="4:12" ht="14.25" hidden="1" x14ac:dyDescent="0.3">
      <c r="D40" s="1" t="s">
        <v>42</v>
      </c>
      <c r="J40" s="2" t="s">
        <v>17</v>
      </c>
      <c r="K40" s="10">
        <v>1.4999999999999999E-2</v>
      </c>
      <c r="L40" s="10"/>
    </row>
    <row r="41" spans="4:12" ht="14.25" hidden="1" x14ac:dyDescent="0.3">
      <c r="D41" s="1" t="s">
        <v>43</v>
      </c>
      <c r="J41" s="2" t="s">
        <v>17</v>
      </c>
      <c r="K41" s="10">
        <v>0.01</v>
      </c>
      <c r="L41" s="10"/>
    </row>
    <row r="42" spans="4:12" ht="14.25" hidden="1" x14ac:dyDescent="0.3">
      <c r="D42" s="1" t="s">
        <v>44</v>
      </c>
      <c r="J42" s="2" t="s">
        <v>17</v>
      </c>
      <c r="K42" s="10">
        <v>2E-3</v>
      </c>
      <c r="L42" s="10"/>
    </row>
    <row r="43" spans="4:12" ht="14.25" hidden="1" x14ac:dyDescent="0.3">
      <c r="D43" s="1" t="s">
        <v>45</v>
      </c>
      <c r="J43" s="2" t="s">
        <v>17</v>
      </c>
      <c r="K43" s="10">
        <v>0.06</v>
      </c>
      <c r="L43" s="10"/>
    </row>
    <row r="44" spans="4:12" ht="14.25" hidden="1" x14ac:dyDescent="0.3">
      <c r="D44" s="1" t="s">
        <v>46</v>
      </c>
      <c r="J44" s="2" t="s">
        <v>17</v>
      </c>
      <c r="K44" s="10">
        <v>6.0000000000000001E-3</v>
      </c>
      <c r="L44" s="10"/>
    </row>
    <row r="45" spans="4:12" ht="14.25" hidden="1" x14ac:dyDescent="0.3">
      <c r="D45" s="1" t="s">
        <v>47</v>
      </c>
      <c r="J45" s="2" t="s">
        <v>17</v>
      </c>
      <c r="K45" s="10">
        <f>SUM(K37:K44)</f>
        <v>0.39800000000000008</v>
      </c>
      <c r="L45" s="10"/>
    </row>
    <row r="46" spans="4:12" ht="14.25" hidden="1" x14ac:dyDescent="0.3">
      <c r="D46" s="1" t="s">
        <v>48</v>
      </c>
    </row>
    <row r="47" spans="4:12" ht="14.25" hidden="1" x14ac:dyDescent="0.3">
      <c r="D47" s="1" t="s">
        <v>49</v>
      </c>
      <c r="H47" s="2"/>
      <c r="I47" s="2"/>
      <c r="J47" s="2" t="s">
        <v>17</v>
      </c>
      <c r="K47" s="10">
        <v>8.3299999999999999E-2</v>
      </c>
      <c r="L47" s="10"/>
    </row>
    <row r="48" spans="4:12" ht="14.25" hidden="1" x14ac:dyDescent="0.3">
      <c r="D48" s="1" t="s">
        <v>50</v>
      </c>
      <c r="H48" s="2"/>
      <c r="I48" s="2"/>
      <c r="J48" s="2" t="s">
        <v>17</v>
      </c>
      <c r="K48" s="10">
        <v>8.3299999999999999E-2</v>
      </c>
      <c r="L48" s="10"/>
    </row>
    <row r="49" spans="3:12" ht="14.25" hidden="1" x14ac:dyDescent="0.3">
      <c r="D49" s="1" t="s">
        <v>51</v>
      </c>
      <c r="J49" s="2" t="s">
        <v>17</v>
      </c>
      <c r="K49" s="10">
        <v>1.9199999999999998E-2</v>
      </c>
      <c r="L49" s="10"/>
    </row>
    <row r="50" spans="3:12" ht="14.25" hidden="1" x14ac:dyDescent="0.3">
      <c r="D50" s="1" t="s">
        <v>52</v>
      </c>
      <c r="J50" s="2" t="s">
        <v>17</v>
      </c>
      <c r="K50" s="10">
        <v>1.37E-2</v>
      </c>
      <c r="L50" s="10"/>
    </row>
    <row r="51" spans="3:12" ht="14.25" hidden="1" x14ac:dyDescent="0.3">
      <c r="D51" s="1" t="s">
        <v>53</v>
      </c>
      <c r="J51" s="2" t="s">
        <v>17</v>
      </c>
      <c r="K51" s="10">
        <v>3.3E-3</v>
      </c>
      <c r="L51" s="10"/>
    </row>
    <row r="52" spans="3:12" ht="14.25" hidden="1" x14ac:dyDescent="0.3">
      <c r="D52" s="1" t="s">
        <v>54</v>
      </c>
      <c r="J52" s="2" t="s">
        <v>17</v>
      </c>
      <c r="K52" s="10">
        <v>2.7000000000000001E-3</v>
      </c>
      <c r="L52" s="10"/>
    </row>
    <row r="53" spans="3:12" ht="14.25" hidden="1" x14ac:dyDescent="0.3">
      <c r="D53" s="1" t="s">
        <v>55</v>
      </c>
      <c r="J53" s="2" t="s">
        <v>17</v>
      </c>
      <c r="K53" s="10">
        <v>5.9999999999999995E-4</v>
      </c>
      <c r="L53" s="10"/>
    </row>
    <row r="54" spans="3:12" ht="14.25" hidden="1" x14ac:dyDescent="0.3">
      <c r="D54" s="1" t="s">
        <v>56</v>
      </c>
      <c r="J54" s="2" t="s">
        <v>17</v>
      </c>
      <c r="K54" s="10">
        <v>2.0000000000000001E-4</v>
      </c>
      <c r="L54" s="10"/>
    </row>
    <row r="55" spans="3:12" ht="14.25" hidden="1" x14ac:dyDescent="0.3">
      <c r="D55" s="1" t="s">
        <v>57</v>
      </c>
      <c r="J55" s="2" t="s">
        <v>17</v>
      </c>
      <c r="K55" s="10">
        <f>SUM(K47:K54)</f>
        <v>0.20629999999999998</v>
      </c>
      <c r="L55" s="10"/>
    </row>
    <row r="56" spans="3:12" ht="14.25" hidden="1" x14ac:dyDescent="0.3">
      <c r="D56" s="1" t="s">
        <v>58</v>
      </c>
    </row>
    <row r="57" spans="3:12" ht="14.25" hidden="1" x14ac:dyDescent="0.3">
      <c r="D57" s="1" t="s">
        <v>59</v>
      </c>
      <c r="J57" s="2" t="s">
        <v>17</v>
      </c>
      <c r="K57" s="10">
        <v>4.1999999999999997E-3</v>
      </c>
      <c r="L57" s="10"/>
    </row>
    <row r="58" spans="3:12" ht="14.25" hidden="1" x14ac:dyDescent="0.3">
      <c r="D58" s="1" t="s">
        <v>60</v>
      </c>
      <c r="J58" s="2" t="s">
        <v>17</v>
      </c>
      <c r="K58" s="10">
        <v>1.6999999999999999E-3</v>
      </c>
      <c r="L58" s="10"/>
    </row>
    <row r="59" spans="3:12" ht="27" hidden="1" customHeight="1" x14ac:dyDescent="0.3">
      <c r="C59" s="7"/>
      <c r="D59" s="58" t="s">
        <v>61</v>
      </c>
      <c r="E59" s="58"/>
      <c r="F59" s="58"/>
      <c r="G59" s="58"/>
      <c r="H59" s="58"/>
      <c r="I59" s="53"/>
      <c r="J59" s="2" t="s">
        <v>17</v>
      </c>
      <c r="K59" s="10">
        <v>3.2000000000000001E-2</v>
      </c>
      <c r="L59" s="10"/>
    </row>
    <row r="60" spans="3:12" ht="14.25" hidden="1" x14ac:dyDescent="0.3">
      <c r="D60" s="1" t="s">
        <v>62</v>
      </c>
      <c r="J60" s="2" t="s">
        <v>17</v>
      </c>
      <c r="K60" s="10">
        <v>8.0000000000000002E-3</v>
      </c>
      <c r="L60" s="10"/>
    </row>
    <row r="61" spans="3:12" ht="14.25" hidden="1" x14ac:dyDescent="0.3">
      <c r="D61" s="1" t="s">
        <v>63</v>
      </c>
      <c r="J61" s="2" t="s">
        <v>17</v>
      </c>
      <c r="K61" s="10">
        <v>2.7799999999999998E-2</v>
      </c>
      <c r="L61" s="10"/>
    </row>
    <row r="62" spans="3:12" ht="14.25" hidden="1" x14ac:dyDescent="0.3">
      <c r="D62" s="1" t="s">
        <v>64</v>
      </c>
      <c r="J62" s="2" t="s">
        <v>17</v>
      </c>
      <c r="K62" s="10">
        <v>2.0000000000000001E-4</v>
      </c>
      <c r="L62" s="10"/>
    </row>
    <row r="63" spans="3:12" ht="14.25" hidden="1" x14ac:dyDescent="0.3">
      <c r="D63" s="1" t="s">
        <v>65</v>
      </c>
      <c r="J63" s="2" t="s">
        <v>17</v>
      </c>
      <c r="K63" s="10">
        <v>7.3899999999999993E-2</v>
      </c>
      <c r="L63" s="10"/>
    </row>
    <row r="64" spans="3:12" ht="14.25" hidden="1" x14ac:dyDescent="0.3">
      <c r="D64" s="1" t="s">
        <v>66</v>
      </c>
      <c r="K64" s="10"/>
      <c r="L64" s="10"/>
    </row>
    <row r="65" spans="3:15" ht="14.25" hidden="1" x14ac:dyDescent="0.3">
      <c r="D65" s="1" t="s">
        <v>67</v>
      </c>
      <c r="J65" s="2" t="s">
        <v>17</v>
      </c>
      <c r="K65" s="10">
        <v>8.2100000000000006E-2</v>
      </c>
      <c r="L65" s="10"/>
    </row>
    <row r="66" spans="3:15" ht="14.25" hidden="1" x14ac:dyDescent="0.3">
      <c r="D66" s="1" t="s">
        <v>68</v>
      </c>
      <c r="J66" s="2" t="s">
        <v>17</v>
      </c>
      <c r="K66" s="10">
        <v>8.2100000000000006E-2</v>
      </c>
      <c r="L66" s="10"/>
    </row>
    <row r="67" spans="3:15" ht="14.25" hidden="1" x14ac:dyDescent="0.3">
      <c r="D67" s="1" t="s">
        <v>69</v>
      </c>
    </row>
    <row r="68" spans="3:15" ht="14.25" hidden="1" x14ac:dyDescent="0.3">
      <c r="D68" s="1" t="s">
        <v>70</v>
      </c>
      <c r="J68" s="2" t="s">
        <v>17</v>
      </c>
      <c r="K68" s="10">
        <v>2.9999999999999997E-4</v>
      </c>
      <c r="L68" s="10"/>
    </row>
    <row r="69" spans="3:15" ht="26.25" hidden="1" customHeight="1" x14ac:dyDescent="0.3">
      <c r="C69" s="7"/>
      <c r="D69" s="58" t="s">
        <v>71</v>
      </c>
      <c r="E69" s="58"/>
      <c r="F69" s="58"/>
      <c r="G69" s="58"/>
      <c r="H69" s="58"/>
      <c r="I69" s="53"/>
      <c r="J69" s="2" t="s">
        <v>17</v>
      </c>
      <c r="K69" s="10">
        <v>2.9999999999999997E-4</v>
      </c>
      <c r="L69" s="10"/>
    </row>
    <row r="70" spans="3:15" ht="14.25" hidden="1" x14ac:dyDescent="0.3">
      <c r="D70" s="1" t="s">
        <v>72</v>
      </c>
      <c r="J70" s="2" t="s">
        <v>17</v>
      </c>
      <c r="K70" s="10">
        <v>2.2000000000000001E-3</v>
      </c>
      <c r="L70" s="10"/>
    </row>
    <row r="71" spans="3:15" ht="14.25" hidden="1" x14ac:dyDescent="0.3">
      <c r="D71" s="1" t="s">
        <v>73</v>
      </c>
      <c r="J71" s="2" t="s">
        <v>17</v>
      </c>
      <c r="K71" s="10">
        <v>2.8E-3</v>
      </c>
      <c r="L71" s="10"/>
    </row>
    <row r="72" spans="3:15" ht="14.25" hidden="1" x14ac:dyDescent="0.3">
      <c r="D72" s="1" t="s">
        <v>74</v>
      </c>
      <c r="K72" s="10"/>
      <c r="L72" s="10"/>
    </row>
    <row r="73" spans="3:15" ht="27.75" hidden="1" customHeight="1" x14ac:dyDescent="0.3">
      <c r="C73" s="7"/>
      <c r="D73" s="58" t="s">
        <v>75</v>
      </c>
      <c r="E73" s="58"/>
      <c r="F73" s="58"/>
      <c r="G73" s="58"/>
      <c r="H73" s="58"/>
      <c r="I73" s="53"/>
      <c r="J73" s="2" t="s">
        <v>17</v>
      </c>
      <c r="K73" s="10">
        <v>2.7000000000000001E-3</v>
      </c>
      <c r="L73" s="10"/>
    </row>
    <row r="74" spans="3:15" ht="14.25" hidden="1" x14ac:dyDescent="0.3">
      <c r="D74" s="1" t="s">
        <v>76</v>
      </c>
      <c r="J74" s="2" t="s">
        <v>17</v>
      </c>
      <c r="K74" s="10">
        <v>2.7000000000000001E-3</v>
      </c>
      <c r="L74" s="10"/>
    </row>
    <row r="75" spans="3:15" ht="14.25" hidden="1" x14ac:dyDescent="0.3">
      <c r="D75" s="1" t="s">
        <v>77</v>
      </c>
      <c r="J75" s="2" t="s">
        <v>17</v>
      </c>
      <c r="K75" s="10">
        <v>0.76580000000000004</v>
      </c>
      <c r="L75" s="10"/>
    </row>
    <row r="76" spans="3:15" ht="14.25" hidden="1" x14ac:dyDescent="0.3">
      <c r="D76" s="4" t="s">
        <v>78</v>
      </c>
    </row>
    <row r="77" spans="3:15" ht="14.25" hidden="1" x14ac:dyDescent="0.3">
      <c r="D77" s="1" t="s">
        <v>79</v>
      </c>
      <c r="J77" s="2" t="s">
        <v>7</v>
      </c>
      <c r="K77" s="3" t="s">
        <v>8</v>
      </c>
    </row>
    <row r="78" spans="3:15" ht="14.25" hidden="1" x14ac:dyDescent="0.3">
      <c r="D78" s="1" t="s">
        <v>82</v>
      </c>
      <c r="J78" s="2" t="s">
        <v>191</v>
      </c>
      <c r="K78" s="11">
        <v>1615.11</v>
      </c>
      <c r="L78" s="11"/>
      <c r="M78" s="13">
        <f>K78/8.61*5.35</f>
        <v>1003.5817073170731</v>
      </c>
      <c r="N78" s="13">
        <f>K78/8.61*3.26</f>
        <v>611.5282926829268</v>
      </c>
      <c r="O78" s="13">
        <v>5.32</v>
      </c>
    </row>
    <row r="79" spans="3:15" ht="14.25" hidden="1" x14ac:dyDescent="0.3">
      <c r="D79" s="1" t="s">
        <v>80</v>
      </c>
      <c r="J79" s="2" t="s">
        <v>191</v>
      </c>
      <c r="K79" s="11">
        <v>374.8</v>
      </c>
      <c r="L79" s="11"/>
      <c r="M79" s="13">
        <f>K79/8.61*5.35</f>
        <v>232.88966318234614</v>
      </c>
      <c r="N79" s="13">
        <f>K79/8.61*3.26</f>
        <v>141.9103368176539</v>
      </c>
      <c r="O79" s="13">
        <v>3.26</v>
      </c>
    </row>
    <row r="80" spans="3:15" ht="14.25" hidden="1" x14ac:dyDescent="0.3">
      <c r="D80" s="1" t="s">
        <v>81</v>
      </c>
      <c r="J80" s="2" t="s">
        <v>191</v>
      </c>
      <c r="K80" s="11">
        <f>(K78+K79)/220*2*7.33*K16</f>
        <v>0</v>
      </c>
      <c r="L80" s="11"/>
      <c r="M80" s="13">
        <f>K80/O80*O78</f>
        <v>0</v>
      </c>
      <c r="N80" s="13">
        <f>K80/O80*O79</f>
        <v>0</v>
      </c>
      <c r="O80" s="13">
        <f>O78+O79</f>
        <v>8.58</v>
      </c>
    </row>
    <row r="81" spans="4:15" ht="14.25" hidden="1" x14ac:dyDescent="0.3">
      <c r="D81" s="1" t="s">
        <v>83</v>
      </c>
      <c r="J81" s="2" t="s">
        <v>191</v>
      </c>
      <c r="K81" s="11">
        <f>K23*K12</f>
        <v>1172.97</v>
      </c>
      <c r="L81" s="11"/>
      <c r="M81" s="13">
        <v>3518.91</v>
      </c>
      <c r="N81" s="13"/>
      <c r="O81" s="13"/>
    </row>
    <row r="82" spans="4:15" ht="14.25" hidden="1" x14ac:dyDescent="0.3">
      <c r="D82" s="1" t="s">
        <v>80</v>
      </c>
      <c r="J82" s="2" t="s">
        <v>191</v>
      </c>
      <c r="K82" s="11">
        <f>K81*40/100</f>
        <v>469.18800000000005</v>
      </c>
      <c r="L82" s="11"/>
      <c r="M82" s="13">
        <v>1407.56</v>
      </c>
      <c r="N82" s="13"/>
      <c r="O82" s="13"/>
    </row>
    <row r="83" spans="4:15" ht="14.25" hidden="1" x14ac:dyDescent="0.3">
      <c r="D83" s="1" t="s">
        <v>81</v>
      </c>
      <c r="J83" s="2" t="s">
        <v>191</v>
      </c>
      <c r="K83" s="11">
        <f>(K81+K82)/220*2*7.33*K16</f>
        <v>0</v>
      </c>
      <c r="L83" s="11"/>
      <c r="M83" s="13">
        <v>124.75</v>
      </c>
      <c r="N83" s="13"/>
      <c r="O83" s="13"/>
    </row>
    <row r="84" spans="4:15" ht="14.25" hidden="1" x14ac:dyDescent="0.3">
      <c r="D84" s="1" t="s">
        <v>84</v>
      </c>
      <c r="J84" s="2" t="s">
        <v>191</v>
      </c>
      <c r="K84" s="11">
        <f>SUM(K78:K83)</f>
        <v>3632.0680000000002</v>
      </c>
      <c r="L84" s="11"/>
      <c r="M84" s="13">
        <f>M81+M82+M83+M80+M79+M78</f>
        <v>6287.6913704994186</v>
      </c>
      <c r="N84" s="13">
        <f>N80+N79+N78</f>
        <v>753.43862950058065</v>
      </c>
      <c r="O84" s="13"/>
    </row>
    <row r="85" spans="4:15" ht="14.25" hidden="1" x14ac:dyDescent="0.3">
      <c r="D85" s="4" t="s">
        <v>85</v>
      </c>
      <c r="J85" s="5" t="s">
        <v>191</v>
      </c>
      <c r="K85" s="14">
        <f>K84*K17</f>
        <v>86.477809523809526</v>
      </c>
      <c r="L85" s="14"/>
      <c r="M85" s="47">
        <f>M84*K17</f>
        <v>149.70693739284329</v>
      </c>
      <c r="N85" s="47">
        <f>N84*K17</f>
        <v>17.939014988109061</v>
      </c>
      <c r="O85" s="47"/>
    </row>
    <row r="86" spans="4:15" ht="14.25" hidden="1" x14ac:dyDescent="0.3">
      <c r="D86" s="1" t="s">
        <v>86</v>
      </c>
    </row>
    <row r="87" spans="4:15" ht="14.25" hidden="1" x14ac:dyDescent="0.3">
      <c r="D87" s="1" t="s">
        <v>87</v>
      </c>
      <c r="J87" s="2" t="s">
        <v>191</v>
      </c>
      <c r="K87" s="11">
        <f>K85*K75</f>
        <v>66.224706533333332</v>
      </c>
      <c r="L87" s="11"/>
      <c r="M87" s="13">
        <f>M85*$K$75</f>
        <v>114.64557265543939</v>
      </c>
      <c r="N87" s="13">
        <f>N85*$K$75+0.01</f>
        <v>13.747697677893919</v>
      </c>
      <c r="O87" s="13"/>
    </row>
    <row r="88" spans="4:15" ht="14.25" hidden="1" x14ac:dyDescent="0.3">
      <c r="D88" s="4" t="s">
        <v>88</v>
      </c>
      <c r="J88" s="5" t="s">
        <v>191</v>
      </c>
      <c r="K88" s="14">
        <f>K87</f>
        <v>66.224706533333332</v>
      </c>
      <c r="L88" s="14"/>
      <c r="M88" s="47">
        <f>M87</f>
        <v>114.64557265543939</v>
      </c>
      <c r="N88" s="47">
        <f>N87</f>
        <v>13.747697677893919</v>
      </c>
    </row>
    <row r="89" spans="4:15" ht="14.25" hidden="1" x14ac:dyDescent="0.3">
      <c r="D89" s="1" t="s">
        <v>89</v>
      </c>
    </row>
    <row r="90" spans="4:15" ht="14.25" hidden="1" x14ac:dyDescent="0.3">
      <c r="D90" s="1" t="s">
        <v>82</v>
      </c>
      <c r="J90" s="2" t="s">
        <v>191</v>
      </c>
      <c r="K90" s="11">
        <f>K24*K15*K11</f>
        <v>31.1</v>
      </c>
      <c r="L90" s="11"/>
      <c r="N90" s="13">
        <f>K90+K91</f>
        <v>25.657500000000002</v>
      </c>
    </row>
    <row r="91" spans="4:15" ht="14.25" hidden="1" x14ac:dyDescent="0.3">
      <c r="D91" s="1" t="s">
        <v>90</v>
      </c>
      <c r="J91" s="2" t="s">
        <v>191</v>
      </c>
      <c r="K91" s="11">
        <f>K90*K25*-1</f>
        <v>-5.4424999999999999</v>
      </c>
      <c r="L91" s="11"/>
    </row>
    <row r="92" spans="4:15" ht="14.25" hidden="1" x14ac:dyDescent="0.3">
      <c r="D92" s="1" t="s">
        <v>83</v>
      </c>
      <c r="J92" s="2" t="s">
        <v>191</v>
      </c>
      <c r="K92" s="11">
        <f>K24*K15*K12</f>
        <v>31.1</v>
      </c>
      <c r="L92" s="11"/>
      <c r="M92" s="13">
        <f>K92+K93</f>
        <v>25.657500000000002</v>
      </c>
    </row>
    <row r="93" spans="4:15" ht="14.25" hidden="1" x14ac:dyDescent="0.3">
      <c r="D93" s="1" t="s">
        <v>90</v>
      </c>
      <c r="J93" s="2" t="s">
        <v>191</v>
      </c>
      <c r="K93" s="11">
        <f>K92*K25*-1</f>
        <v>-5.4424999999999999</v>
      </c>
      <c r="L93" s="11"/>
    </row>
    <row r="94" spans="4:15" ht="14.25" hidden="1" x14ac:dyDescent="0.3">
      <c r="D94" s="4" t="s">
        <v>91</v>
      </c>
      <c r="J94" s="5" t="s">
        <v>191</v>
      </c>
      <c r="K94" s="14">
        <f>K90+K91+K92+K93</f>
        <v>51.315000000000005</v>
      </c>
      <c r="L94" s="14"/>
      <c r="M94" s="13">
        <f>M92</f>
        <v>25.657500000000002</v>
      </c>
      <c r="N94" s="13">
        <f>N90</f>
        <v>25.657500000000002</v>
      </c>
    </row>
    <row r="95" spans="4:15" ht="14.25" hidden="1" x14ac:dyDescent="0.3">
      <c r="D95" s="1" t="s">
        <v>92</v>
      </c>
    </row>
    <row r="96" spans="4:15" ht="14.25" hidden="1" x14ac:dyDescent="0.3">
      <c r="D96" s="1" t="s">
        <v>82</v>
      </c>
      <c r="J96" s="2" t="s">
        <v>191</v>
      </c>
      <c r="K96" s="11">
        <f>K26*2*K15*K11</f>
        <v>12</v>
      </c>
      <c r="L96" s="11"/>
      <c r="N96" s="13">
        <f>K96+K97</f>
        <v>9.6927000000000003</v>
      </c>
    </row>
    <row r="97" spans="4:14" ht="14.25" hidden="1" x14ac:dyDescent="0.3">
      <c r="D97" s="1" t="s">
        <v>93</v>
      </c>
      <c r="J97" s="2" t="s">
        <v>191</v>
      </c>
      <c r="K97" s="11">
        <f>K18*K17*-K27*K11</f>
        <v>-2.3072999999999997</v>
      </c>
      <c r="L97" s="11"/>
    </row>
    <row r="98" spans="4:14" ht="14.25" hidden="1" x14ac:dyDescent="0.3">
      <c r="D98" s="1" t="s">
        <v>83</v>
      </c>
      <c r="J98" s="2" t="s">
        <v>191</v>
      </c>
      <c r="K98" s="11">
        <f>K26*2*K15*K12</f>
        <v>12</v>
      </c>
      <c r="L98" s="11"/>
      <c r="M98" s="13">
        <f>K98+K99</f>
        <v>10.324328571428572</v>
      </c>
    </row>
    <row r="99" spans="4:14" ht="14.25" hidden="1" x14ac:dyDescent="0.3">
      <c r="D99" s="1" t="s">
        <v>93</v>
      </c>
      <c r="J99" s="2" t="s">
        <v>191</v>
      </c>
      <c r="K99" s="11">
        <f>K21*K17*-K27*K12</f>
        <v>-1.6756714285714285</v>
      </c>
      <c r="L99" s="11"/>
    </row>
    <row r="100" spans="4:14" ht="14.25" hidden="1" x14ac:dyDescent="0.3">
      <c r="D100" s="4" t="s">
        <v>94</v>
      </c>
      <c r="J100" s="5" t="s">
        <v>191</v>
      </c>
      <c r="K100" s="14">
        <f>SUM(K96:K99)</f>
        <v>20.017028571428575</v>
      </c>
      <c r="L100" s="14"/>
      <c r="M100" s="13">
        <f>M98</f>
        <v>10.324328571428572</v>
      </c>
      <c r="N100" s="13">
        <f>N96</f>
        <v>9.6927000000000003</v>
      </c>
    </row>
    <row r="101" spans="4:14" ht="14.25" hidden="1" x14ac:dyDescent="0.3">
      <c r="D101" s="1" t="s">
        <v>95</v>
      </c>
      <c r="I101" s="12" t="s">
        <v>195</v>
      </c>
      <c r="J101" s="2" t="s">
        <v>7</v>
      </c>
      <c r="K101" s="3" t="s">
        <v>8</v>
      </c>
    </row>
    <row r="102" spans="4:14" ht="14.25" hidden="1" x14ac:dyDescent="0.3">
      <c r="D102" s="1" t="s">
        <v>82</v>
      </c>
    </row>
    <row r="103" spans="4:14" ht="14.25" hidden="1" x14ac:dyDescent="0.3">
      <c r="D103" s="1" t="s">
        <v>96</v>
      </c>
      <c r="I103" s="1" t="s">
        <v>192</v>
      </c>
      <c r="J103" s="2" t="s">
        <v>193</v>
      </c>
      <c r="K103" s="11">
        <v>6.5</v>
      </c>
      <c r="L103" s="11"/>
    </row>
    <row r="104" spans="4:14" ht="14.25" hidden="1" x14ac:dyDescent="0.3">
      <c r="D104" s="1" t="s">
        <v>97</v>
      </c>
      <c r="I104" s="1" t="s">
        <v>192</v>
      </c>
      <c r="J104" s="2" t="s">
        <v>193</v>
      </c>
      <c r="K104" s="11">
        <v>5.67</v>
      </c>
      <c r="L104" s="11"/>
    </row>
    <row r="105" spans="4:14" ht="14.25" hidden="1" x14ac:dyDescent="0.3">
      <c r="D105" s="1" t="s">
        <v>98</v>
      </c>
      <c r="I105" s="1" t="s">
        <v>192</v>
      </c>
      <c r="J105" s="2" t="s">
        <v>193</v>
      </c>
      <c r="K105" s="11">
        <v>7.11</v>
      </c>
      <c r="L105" s="11"/>
    </row>
    <row r="106" spans="4:14" ht="14.25" hidden="1" x14ac:dyDescent="0.3">
      <c r="D106" s="1" t="s">
        <v>99</v>
      </c>
      <c r="J106" s="2" t="s">
        <v>191</v>
      </c>
      <c r="K106" s="11">
        <f>SUM(K103:K105)</f>
        <v>19.28</v>
      </c>
      <c r="L106" s="11"/>
      <c r="N106" s="13">
        <f>K106</f>
        <v>19.28</v>
      </c>
    </row>
    <row r="107" spans="4:14" ht="14.25" hidden="1" x14ac:dyDescent="0.3">
      <c r="D107" s="1" t="s">
        <v>83</v>
      </c>
    </row>
    <row r="108" spans="4:14" ht="14.25" hidden="1" x14ac:dyDescent="0.3">
      <c r="D108" s="1" t="s">
        <v>96</v>
      </c>
      <c r="I108" s="1" t="s">
        <v>230</v>
      </c>
      <c r="J108" s="2" t="s">
        <v>193</v>
      </c>
      <c r="K108" s="11">
        <f t="shared" ref="K108:K113" si="0">2*K28/12</f>
        <v>6.5</v>
      </c>
      <c r="L108" s="11"/>
    </row>
    <row r="109" spans="4:14" ht="14.25" hidden="1" x14ac:dyDescent="0.3">
      <c r="D109" s="1" t="s">
        <v>97</v>
      </c>
      <c r="I109" s="1" t="s">
        <v>230</v>
      </c>
      <c r="J109" s="2" t="s">
        <v>193</v>
      </c>
      <c r="K109" s="11">
        <f t="shared" si="0"/>
        <v>5.666666666666667</v>
      </c>
      <c r="L109" s="11"/>
    </row>
    <row r="110" spans="4:14" ht="14.25" hidden="1" x14ac:dyDescent="0.3">
      <c r="D110" s="1" t="s">
        <v>100</v>
      </c>
      <c r="I110" s="1" t="s">
        <v>230</v>
      </c>
      <c r="J110" s="2" t="s">
        <v>193</v>
      </c>
      <c r="K110" s="11">
        <f t="shared" si="0"/>
        <v>6.583333333333333</v>
      </c>
      <c r="L110" s="11"/>
    </row>
    <row r="111" spans="4:14" ht="14.25" hidden="1" x14ac:dyDescent="0.3">
      <c r="D111" s="1" t="s">
        <v>101</v>
      </c>
      <c r="I111" s="1" t="s">
        <v>230</v>
      </c>
      <c r="J111" s="2" t="s">
        <v>193</v>
      </c>
      <c r="K111" s="11">
        <f t="shared" si="0"/>
        <v>1.8883333333333334</v>
      </c>
      <c r="L111" s="11"/>
    </row>
    <row r="112" spans="4:14" ht="14.25" hidden="1" x14ac:dyDescent="0.3">
      <c r="D112" s="1" t="s">
        <v>98</v>
      </c>
      <c r="I112" s="1" t="s">
        <v>230</v>
      </c>
      <c r="J112" s="2" t="s">
        <v>193</v>
      </c>
      <c r="K112" s="11">
        <f t="shared" si="0"/>
        <v>7.1116666666666672</v>
      </c>
      <c r="L112" s="11"/>
    </row>
    <row r="113" spans="4:14" ht="14.25" hidden="1" x14ac:dyDescent="0.3">
      <c r="D113" s="1" t="s">
        <v>102</v>
      </c>
      <c r="I113" s="1" t="s">
        <v>230</v>
      </c>
      <c r="J113" s="2" t="s">
        <v>193</v>
      </c>
      <c r="K113" s="11">
        <f t="shared" si="0"/>
        <v>4.9450000000000003</v>
      </c>
      <c r="L113" s="11"/>
    </row>
    <row r="114" spans="4:14" ht="14.25" hidden="1" x14ac:dyDescent="0.3">
      <c r="D114" s="1" t="s">
        <v>103</v>
      </c>
      <c r="I114" s="1" t="s">
        <v>231</v>
      </c>
      <c r="J114" s="2" t="s">
        <v>193</v>
      </c>
      <c r="K114" s="11">
        <f>12*K34/12</f>
        <v>11.63</v>
      </c>
      <c r="L114" s="11"/>
    </row>
    <row r="115" spans="4:14" ht="14.25" hidden="1" x14ac:dyDescent="0.3">
      <c r="D115" s="1" t="s">
        <v>104</v>
      </c>
      <c r="J115" s="2" t="s">
        <v>191</v>
      </c>
      <c r="K115" s="11">
        <f>SUM(K108:K114)</f>
        <v>44.325000000000003</v>
      </c>
      <c r="L115" s="11"/>
      <c r="M115" s="13">
        <f>K115</f>
        <v>44.325000000000003</v>
      </c>
    </row>
    <row r="116" spans="4:14" ht="14.25" hidden="1" x14ac:dyDescent="0.3">
      <c r="D116" s="4" t="s">
        <v>105</v>
      </c>
      <c r="I116" s="4"/>
      <c r="J116" s="5" t="s">
        <v>191</v>
      </c>
      <c r="K116" s="14">
        <f>K115+K106</f>
        <v>63.605000000000004</v>
      </c>
      <c r="L116" s="14"/>
      <c r="M116" s="13">
        <f>M115</f>
        <v>44.325000000000003</v>
      </c>
      <c r="N116" s="13">
        <f>N106</f>
        <v>19.28</v>
      </c>
    </row>
    <row r="117" spans="4:14" ht="14.25" hidden="1" x14ac:dyDescent="0.3">
      <c r="D117" s="4" t="s">
        <v>106</v>
      </c>
      <c r="I117" s="4"/>
      <c r="J117" s="5"/>
      <c r="K117" s="14">
        <f>K85+K88+K94+K116+K100</f>
        <v>287.63954462857146</v>
      </c>
      <c r="L117" s="14"/>
      <c r="M117" s="14">
        <f t="shared" ref="M117" si="1">M85+M88+M94+M116+M100</f>
        <v>344.65933861971126</v>
      </c>
      <c r="N117" s="14">
        <f>N85+N88+N94+N116+N100-0.01</f>
        <v>86.306912666002987</v>
      </c>
    </row>
    <row r="118" spans="4:14" ht="14.4" x14ac:dyDescent="0.35">
      <c r="D118" s="4" t="s">
        <v>107</v>
      </c>
      <c r="I118" s="4"/>
      <c r="J118" s="5"/>
      <c r="K118" s="6"/>
      <c r="L118" s="6"/>
    </row>
    <row r="119" spans="4:14" ht="14.25" x14ac:dyDescent="0.3">
      <c r="D119" s="1" t="s">
        <v>108</v>
      </c>
      <c r="I119" s="12" t="s">
        <v>195</v>
      </c>
      <c r="J119" s="2" t="s">
        <v>7</v>
      </c>
      <c r="K119" s="3" t="s">
        <v>8</v>
      </c>
    </row>
    <row r="120" spans="4:14" x14ac:dyDescent="0.3">
      <c r="D120" s="1" t="s">
        <v>109</v>
      </c>
      <c r="J120" s="2" t="s">
        <v>191</v>
      </c>
      <c r="K120" s="11">
        <f>K117</f>
        <v>287.63954462857146</v>
      </c>
      <c r="L120" s="11"/>
      <c r="M120" s="11">
        <f t="shared" ref="M120:N120" si="2">M117</f>
        <v>344.65933861971126</v>
      </c>
      <c r="N120" s="11">
        <f t="shared" si="2"/>
        <v>86.306912666002987</v>
      </c>
    </row>
    <row r="121" spans="4:14" ht="14.4" x14ac:dyDescent="0.35">
      <c r="D121" s="4" t="s">
        <v>110</v>
      </c>
      <c r="I121" s="16">
        <v>0.01</v>
      </c>
      <c r="J121" s="5" t="s">
        <v>191</v>
      </c>
      <c r="K121" s="14">
        <f>K120*$I$121</f>
        <v>2.8763954462857146</v>
      </c>
      <c r="L121" s="14"/>
      <c r="M121" s="14">
        <f t="shared" ref="M121:N121" si="3">M120*$I$121</f>
        <v>3.4465933861971125</v>
      </c>
      <c r="N121" s="14">
        <f t="shared" si="3"/>
        <v>0.86306912666002988</v>
      </c>
    </row>
    <row r="122" spans="4:14" ht="14.25" x14ac:dyDescent="0.3">
      <c r="D122" s="1" t="s">
        <v>111</v>
      </c>
    </row>
    <row r="123" spans="4:14" x14ac:dyDescent="0.3">
      <c r="D123" s="1" t="s">
        <v>112</v>
      </c>
      <c r="J123" s="2" t="s">
        <v>191</v>
      </c>
      <c r="K123" s="11">
        <f>K120+K121</f>
        <v>290.51594007485716</v>
      </c>
      <c r="L123" s="11"/>
      <c r="M123" s="11">
        <f t="shared" ref="M123:N123" si="4">M120+M121</f>
        <v>348.10593200590836</v>
      </c>
      <c r="N123" s="11">
        <f t="shared" si="4"/>
        <v>87.169981792663023</v>
      </c>
    </row>
    <row r="124" spans="4:14" ht="14.4" x14ac:dyDescent="0.35">
      <c r="D124" s="4" t="s">
        <v>113</v>
      </c>
      <c r="I124" s="16">
        <v>0.05</v>
      </c>
      <c r="J124" s="5" t="s">
        <v>191</v>
      </c>
      <c r="K124" s="14">
        <f>K123*$I$124</f>
        <v>14.525797003742859</v>
      </c>
      <c r="L124" s="14"/>
      <c r="M124" s="14">
        <f t="shared" ref="M124:N124" si="5">M123*$I$124</f>
        <v>17.405296600295419</v>
      </c>
      <c r="N124" s="14">
        <f t="shared" si="5"/>
        <v>4.3584990896331517</v>
      </c>
    </row>
    <row r="125" spans="4:14" ht="14.25" x14ac:dyDescent="0.3">
      <c r="D125" s="1" t="s">
        <v>114</v>
      </c>
    </row>
    <row r="126" spans="4:14" x14ac:dyDescent="0.3">
      <c r="D126" s="1" t="s">
        <v>115</v>
      </c>
      <c r="K126" s="11">
        <f>K123+K124</f>
        <v>305.04173707860002</v>
      </c>
      <c r="L126" s="11"/>
      <c r="M126" s="11">
        <f t="shared" ref="M126:N126" si="6">M123+M124</f>
        <v>365.51122860620376</v>
      </c>
      <c r="N126" s="11">
        <f t="shared" si="6"/>
        <v>91.528480882296179</v>
      </c>
    </row>
    <row r="127" spans="4:14" x14ac:dyDescent="0.3">
      <c r="D127" s="1" t="s">
        <v>116</v>
      </c>
      <c r="I127" s="15">
        <v>0.03</v>
      </c>
      <c r="J127" s="2" t="s">
        <v>191</v>
      </c>
      <c r="K127" s="11">
        <f>K126*$I$127</f>
        <v>9.1512521123579997</v>
      </c>
      <c r="L127" s="11"/>
      <c r="M127" s="11">
        <f t="shared" ref="M127:N127" si="7">M126*$I$127</f>
        <v>10.965336858186113</v>
      </c>
      <c r="N127" s="11">
        <f t="shared" si="7"/>
        <v>2.7458544264688851</v>
      </c>
    </row>
    <row r="128" spans="4:14" x14ac:dyDescent="0.3">
      <c r="D128" s="1" t="s">
        <v>117</v>
      </c>
      <c r="I128" s="15">
        <v>6.4999999999999997E-3</v>
      </c>
      <c r="J128" s="2" t="s">
        <v>191</v>
      </c>
      <c r="K128" s="11">
        <f>K126*$I$128</f>
        <v>1.9827712910109001</v>
      </c>
      <c r="L128" s="11"/>
      <c r="M128" s="11">
        <f t="shared" ref="M128:N128" si="8">M126*$I$128</f>
        <v>2.3758229859403244</v>
      </c>
      <c r="N128" s="11">
        <f t="shared" si="8"/>
        <v>0.59493512573492513</v>
      </c>
    </row>
    <row r="129" spans="1:14" x14ac:dyDescent="0.3">
      <c r="D129" s="1" t="s">
        <v>118</v>
      </c>
      <c r="I129" s="15">
        <v>0.02</v>
      </c>
      <c r="J129" s="2" t="s">
        <v>191</v>
      </c>
      <c r="K129" s="11">
        <f>K126*$I$129</f>
        <v>6.100834741572001</v>
      </c>
      <c r="L129" s="11"/>
      <c r="M129" s="11">
        <f t="shared" ref="M129:N129" si="9">M126*$I$129</f>
        <v>7.3102245721240751</v>
      </c>
      <c r="N129" s="11">
        <f t="shared" si="9"/>
        <v>1.8305696176459236</v>
      </c>
    </row>
    <row r="130" spans="1:14" ht="14.4" x14ac:dyDescent="0.35">
      <c r="D130" s="4" t="s">
        <v>119</v>
      </c>
      <c r="E130" s="4"/>
      <c r="F130" s="4"/>
      <c r="G130" s="4"/>
      <c r="H130" s="4"/>
      <c r="I130" s="4"/>
      <c r="J130" s="5" t="s">
        <v>191</v>
      </c>
      <c r="K130" s="14">
        <f>K127+K128+K129</f>
        <v>17.234858144940901</v>
      </c>
      <c r="L130" s="14"/>
      <c r="M130" s="14">
        <f t="shared" ref="M130:N130" si="10">M127+M128+M129</f>
        <v>20.651384416250512</v>
      </c>
      <c r="N130" s="14">
        <f t="shared" si="10"/>
        <v>5.1713591698497341</v>
      </c>
    </row>
    <row r="131" spans="1:14" ht="14.4" x14ac:dyDescent="0.35">
      <c r="D131" s="4" t="s">
        <v>120</v>
      </c>
      <c r="I131" s="16"/>
      <c r="J131" s="5" t="s">
        <v>191</v>
      </c>
      <c r="K131" s="14">
        <f>K130+K124+K121</f>
        <v>34.637050594969473</v>
      </c>
      <c r="L131" s="14"/>
      <c r="M131" s="14">
        <f t="shared" ref="M131:N131" si="11">M130+M124+M121</f>
        <v>41.503274402743045</v>
      </c>
      <c r="N131" s="14">
        <f t="shared" si="11"/>
        <v>10.392927386142915</v>
      </c>
    </row>
    <row r="132" spans="1:14" ht="14.4" x14ac:dyDescent="0.35">
      <c r="A132" s="25"/>
      <c r="B132" s="25"/>
      <c r="C132" s="25"/>
      <c r="D132" s="26" t="s">
        <v>121</v>
      </c>
      <c r="E132" s="25"/>
      <c r="F132" s="25"/>
      <c r="G132" s="25"/>
      <c r="H132" s="25"/>
      <c r="I132" s="26"/>
      <c r="J132" s="27" t="s">
        <v>191</v>
      </c>
      <c r="K132" s="28">
        <f>K131+K117</f>
        <v>322.27659522354094</v>
      </c>
      <c r="L132" s="28"/>
      <c r="M132" s="28">
        <f t="shared" ref="M132:N132" si="12">M131+M117</f>
        <v>386.16261302245431</v>
      </c>
      <c r="N132" s="28">
        <f t="shared" si="12"/>
        <v>96.699840052145902</v>
      </c>
    </row>
    <row r="133" spans="1:14" ht="14.4" x14ac:dyDescent="0.35">
      <c r="B133" s="4" t="s">
        <v>122</v>
      </c>
      <c r="I133" s="15"/>
    </row>
    <row r="134" spans="1:14" ht="14.25" hidden="1" x14ac:dyDescent="0.3">
      <c r="D134" s="4" t="s">
        <v>5</v>
      </c>
    </row>
    <row r="135" spans="1:14" ht="14.25" hidden="1" x14ac:dyDescent="0.3">
      <c r="D135" s="1" t="s">
        <v>123</v>
      </c>
      <c r="J135" s="2" t="s">
        <v>197</v>
      </c>
      <c r="K135" s="22">
        <v>0</v>
      </c>
      <c r="L135" s="22"/>
    </row>
    <row r="136" spans="1:14" ht="14.25" hidden="1" x14ac:dyDescent="0.3">
      <c r="C136" s="21"/>
      <c r="D136" s="1" t="s">
        <v>201</v>
      </c>
      <c r="J136" s="2" t="s">
        <v>197</v>
      </c>
      <c r="K136" s="22">
        <v>0</v>
      </c>
      <c r="L136" s="22"/>
    </row>
    <row r="137" spans="1:14" ht="14.25" hidden="1" x14ac:dyDescent="0.3">
      <c r="D137" s="1" t="s">
        <v>124</v>
      </c>
      <c r="J137" s="2" t="s">
        <v>197</v>
      </c>
      <c r="K137" s="22">
        <v>408</v>
      </c>
      <c r="L137" s="22"/>
    </row>
    <row r="138" spans="1:14" ht="14.25" hidden="1" x14ac:dyDescent="0.3">
      <c r="C138" s="21"/>
      <c r="D138" s="1" t="s">
        <v>203</v>
      </c>
      <c r="J138" s="2" t="s">
        <v>197</v>
      </c>
      <c r="K138" s="22">
        <v>0</v>
      </c>
      <c r="L138" s="22"/>
    </row>
    <row r="139" spans="1:14" ht="14.25" hidden="1" x14ac:dyDescent="0.3">
      <c r="D139" s="1" t="s">
        <v>125</v>
      </c>
      <c r="J139" s="2" t="s">
        <v>226</v>
      </c>
      <c r="K139" s="3">
        <v>1</v>
      </c>
    </row>
    <row r="140" spans="1:14" ht="14.25" hidden="1" x14ac:dyDescent="0.3">
      <c r="D140" s="4" t="s">
        <v>13</v>
      </c>
    </row>
    <row r="141" spans="1:14" ht="14.25" hidden="1" x14ac:dyDescent="0.3">
      <c r="D141" s="1" t="s">
        <v>126</v>
      </c>
      <c r="J141" s="2" t="s">
        <v>198</v>
      </c>
      <c r="K141" s="3">
        <f>K15</f>
        <v>2</v>
      </c>
      <c r="M141" s="3">
        <f>K141</f>
        <v>2</v>
      </c>
      <c r="N141" s="3">
        <f>M141</f>
        <v>2</v>
      </c>
    </row>
    <row r="142" spans="1:14" ht="14.25" hidden="1" x14ac:dyDescent="0.3">
      <c r="D142" s="1" t="s">
        <v>127</v>
      </c>
      <c r="J142" s="2" t="s">
        <v>17</v>
      </c>
      <c r="K142" s="20">
        <f>K17</f>
        <v>2.3809523809523808E-2</v>
      </c>
      <c r="L142" s="20"/>
      <c r="M142" s="20">
        <f>K142</f>
        <v>2.3809523809523808E-2</v>
      </c>
      <c r="N142" s="20">
        <f>M142</f>
        <v>2.3809523809523808E-2</v>
      </c>
    </row>
    <row r="143" spans="1:14" ht="14.25" hidden="1" x14ac:dyDescent="0.3">
      <c r="D143" s="1" t="s">
        <v>128</v>
      </c>
      <c r="J143" s="2" t="s">
        <v>199</v>
      </c>
      <c r="K143" s="3">
        <v>0</v>
      </c>
      <c r="M143" s="3">
        <f>425.86</f>
        <v>425.86</v>
      </c>
      <c r="N143" s="3"/>
    </row>
    <row r="144" spans="1:14" ht="14.25" hidden="1" x14ac:dyDescent="0.3">
      <c r="D144" s="1" t="s">
        <v>129</v>
      </c>
      <c r="J144" s="2" t="s">
        <v>199</v>
      </c>
      <c r="K144" s="23">
        <v>408</v>
      </c>
      <c r="L144" s="23"/>
      <c r="M144" s="23"/>
      <c r="N144" s="23">
        <v>3445.22</v>
      </c>
    </row>
    <row r="145" spans="4:14" ht="14.25" hidden="1" x14ac:dyDescent="0.3">
      <c r="D145" s="1" t="s">
        <v>130</v>
      </c>
      <c r="J145" s="2" t="s">
        <v>204</v>
      </c>
      <c r="K145" s="11">
        <v>55428.78</v>
      </c>
      <c r="L145" s="11"/>
      <c r="M145" s="11">
        <v>55428.78</v>
      </c>
      <c r="N145" s="11">
        <v>55428.78</v>
      </c>
    </row>
    <row r="146" spans="4:14" ht="14.25" hidden="1" x14ac:dyDescent="0.3">
      <c r="D146" s="1" t="s">
        <v>205</v>
      </c>
      <c r="J146" s="2" t="s">
        <v>204</v>
      </c>
      <c r="K146" s="11">
        <v>21300</v>
      </c>
      <c r="L146" s="11"/>
      <c r="M146" s="11">
        <v>21300</v>
      </c>
      <c r="N146" s="11">
        <v>21300</v>
      </c>
    </row>
    <row r="147" spans="4:14" ht="14.25" hidden="1" x14ac:dyDescent="0.3">
      <c r="D147" s="1" t="s">
        <v>131</v>
      </c>
      <c r="J147" s="2" t="s">
        <v>206</v>
      </c>
      <c r="K147" s="11">
        <v>3.25</v>
      </c>
      <c r="L147" s="11"/>
      <c r="M147" s="11">
        <v>3.15</v>
      </c>
      <c r="N147" s="11">
        <v>3.15</v>
      </c>
    </row>
    <row r="148" spans="4:14" ht="14.25" hidden="1" x14ac:dyDescent="0.3">
      <c r="D148" s="1" t="s">
        <v>132</v>
      </c>
      <c r="J148" s="2" t="s">
        <v>204</v>
      </c>
      <c r="K148" s="11">
        <v>1483.2</v>
      </c>
      <c r="L148" s="11"/>
      <c r="M148" s="11">
        <v>1483.2</v>
      </c>
      <c r="N148" s="11">
        <v>1483.2</v>
      </c>
    </row>
    <row r="149" spans="4:14" ht="14.25" hidden="1" x14ac:dyDescent="0.3">
      <c r="D149" s="1" t="s">
        <v>133</v>
      </c>
      <c r="J149" s="2" t="s">
        <v>204</v>
      </c>
      <c r="K149" s="11">
        <v>597.83000000000004</v>
      </c>
      <c r="L149" s="11"/>
      <c r="M149" s="11">
        <v>597.83000000000004</v>
      </c>
      <c r="N149" s="11">
        <v>597.83000000000004</v>
      </c>
    </row>
    <row r="150" spans="4:14" ht="14.25" hidden="1" x14ac:dyDescent="0.3">
      <c r="D150" s="1" t="s">
        <v>134</v>
      </c>
      <c r="J150" s="2" t="s">
        <v>207</v>
      </c>
      <c r="K150" s="11">
        <v>71.08</v>
      </c>
      <c r="L150" s="11"/>
      <c r="M150" s="11">
        <v>71.08</v>
      </c>
      <c r="N150" s="11">
        <v>71.08</v>
      </c>
    </row>
    <row r="151" spans="4:14" ht="14.25" hidden="1" x14ac:dyDescent="0.3">
      <c r="D151" s="1" t="s">
        <v>135</v>
      </c>
      <c r="J151" s="2" t="s">
        <v>207</v>
      </c>
      <c r="K151" s="11">
        <v>48.81</v>
      </c>
      <c r="L151" s="11"/>
      <c r="M151" s="11">
        <v>48.81</v>
      </c>
      <c r="N151" s="11">
        <v>48.81</v>
      </c>
    </row>
    <row r="152" spans="4:14" ht="14.25" hidden="1" x14ac:dyDescent="0.3">
      <c r="D152" s="1" t="s">
        <v>136</v>
      </c>
      <c r="J152" s="2" t="s">
        <v>17</v>
      </c>
      <c r="K152" s="20">
        <v>0.01</v>
      </c>
      <c r="L152" s="20"/>
      <c r="M152" s="20">
        <v>0.01</v>
      </c>
      <c r="N152" s="20">
        <v>0.01</v>
      </c>
    </row>
    <row r="153" spans="4:14" ht="14.25" hidden="1" x14ac:dyDescent="0.3">
      <c r="D153" s="1" t="s">
        <v>137</v>
      </c>
      <c r="J153" s="2" t="s">
        <v>208</v>
      </c>
      <c r="K153" s="3">
        <v>0.37</v>
      </c>
      <c r="M153" s="3">
        <v>0.37</v>
      </c>
      <c r="N153" s="3">
        <v>0.37</v>
      </c>
    </row>
    <row r="154" spans="4:14" ht="14.25" hidden="1" x14ac:dyDescent="0.3">
      <c r="D154" s="1" t="s">
        <v>138</v>
      </c>
      <c r="J154" s="2" t="s">
        <v>208</v>
      </c>
      <c r="K154" s="3">
        <v>0.05</v>
      </c>
      <c r="M154" s="3">
        <v>0.05</v>
      </c>
      <c r="N154" s="3">
        <v>0.05</v>
      </c>
    </row>
    <row r="155" spans="4:14" ht="14.25" hidden="1" x14ac:dyDescent="0.3">
      <c r="D155" s="1" t="s">
        <v>139</v>
      </c>
      <c r="J155" s="2" t="s">
        <v>209</v>
      </c>
      <c r="K155" s="24">
        <v>85000</v>
      </c>
      <c r="L155" s="24"/>
      <c r="M155" s="24">
        <v>85000</v>
      </c>
      <c r="N155" s="24">
        <v>85000</v>
      </c>
    </row>
    <row r="156" spans="4:14" ht="14.25" hidden="1" x14ac:dyDescent="0.3">
      <c r="D156" s="1" t="s">
        <v>140</v>
      </c>
      <c r="J156" s="2" t="s">
        <v>210</v>
      </c>
      <c r="K156" s="20">
        <v>5.7999999999999996E-3</v>
      </c>
      <c r="L156" s="20"/>
      <c r="M156" s="20">
        <v>5.7999999999999996E-3</v>
      </c>
      <c r="N156" s="20">
        <v>5.7999999999999996E-3</v>
      </c>
    </row>
    <row r="157" spans="4:14" ht="14.25" hidden="1" x14ac:dyDescent="0.3">
      <c r="D157" s="1" t="s">
        <v>141</v>
      </c>
      <c r="J157" s="2" t="s">
        <v>210</v>
      </c>
      <c r="K157" s="20">
        <v>2.3999999999999998E-3</v>
      </c>
      <c r="L157" s="20"/>
      <c r="M157" s="20">
        <v>2.3999999999999998E-3</v>
      </c>
      <c r="N157" s="20">
        <v>2.3999999999999998E-3</v>
      </c>
    </row>
    <row r="158" spans="4:14" ht="14.25" hidden="1" x14ac:dyDescent="0.3">
      <c r="D158" s="1" t="s">
        <v>142</v>
      </c>
      <c r="J158" s="2" t="s">
        <v>210</v>
      </c>
      <c r="K158" s="20">
        <v>2E-3</v>
      </c>
      <c r="L158" s="20"/>
      <c r="M158" s="20">
        <v>2E-3</v>
      </c>
      <c r="N158" s="20">
        <v>2E-3</v>
      </c>
    </row>
    <row r="159" spans="4:14" ht="14.25" hidden="1" x14ac:dyDescent="0.3">
      <c r="D159" s="4" t="s">
        <v>78</v>
      </c>
    </row>
    <row r="160" spans="4:14" ht="14.25" hidden="1" x14ac:dyDescent="0.3">
      <c r="D160" s="1" t="s">
        <v>143</v>
      </c>
      <c r="J160" s="2" t="s">
        <v>7</v>
      </c>
      <c r="K160" s="3" t="s">
        <v>8</v>
      </c>
    </row>
    <row r="161" spans="4:14" ht="14.25" hidden="1" x14ac:dyDescent="0.3">
      <c r="D161" s="4" t="s">
        <v>144</v>
      </c>
      <c r="J161" s="5" t="s">
        <v>18</v>
      </c>
      <c r="K161" s="14">
        <f>(K143+K144)*K147*K153</f>
        <v>490.62</v>
      </c>
      <c r="L161" s="14"/>
      <c r="M161" s="14">
        <f>(M143+M144)*M147*M153</f>
        <v>496.33983000000001</v>
      </c>
      <c r="N161" s="14">
        <f t="shared" ref="N161" si="13">(N143+N144)*N147*N153</f>
        <v>4015.4039099999995</v>
      </c>
    </row>
    <row r="162" spans="4:14" ht="14.25" hidden="1" x14ac:dyDescent="0.3">
      <c r="D162" s="1" t="s">
        <v>145</v>
      </c>
    </row>
    <row r="163" spans="4:14" ht="14.25" hidden="1" x14ac:dyDescent="0.3">
      <c r="D163" s="1" t="s">
        <v>146</v>
      </c>
      <c r="J163" s="2" t="s">
        <v>211</v>
      </c>
      <c r="K163" s="11">
        <f>K147*K153*K154</f>
        <v>6.0124999999999998E-2</v>
      </c>
      <c r="L163" s="11"/>
      <c r="M163" s="11">
        <f t="shared" ref="M163:N163" si="14">M147*M153*M154</f>
        <v>5.8275E-2</v>
      </c>
      <c r="N163" s="11">
        <f t="shared" si="14"/>
        <v>5.8275E-2</v>
      </c>
    </row>
    <row r="164" spans="4:14" ht="14.25" hidden="1" x14ac:dyDescent="0.3">
      <c r="D164" s="4" t="s">
        <v>147</v>
      </c>
      <c r="J164" s="5" t="s">
        <v>18</v>
      </c>
      <c r="K164" s="14">
        <f>K163*(K143+K144)</f>
        <v>24.530999999999999</v>
      </c>
      <c r="L164" s="14"/>
      <c r="M164" s="14">
        <f t="shared" ref="M164:N164" si="15">M163*(M143+M144)</f>
        <v>24.8169915</v>
      </c>
      <c r="N164" s="14">
        <f t="shared" si="15"/>
        <v>200.7701955</v>
      </c>
    </row>
    <row r="165" spans="4:14" ht="14.25" hidden="1" x14ac:dyDescent="0.3">
      <c r="D165" s="1" t="s">
        <v>148</v>
      </c>
      <c r="I165" s="12" t="s">
        <v>195</v>
      </c>
      <c r="J165" s="2" t="s">
        <v>7</v>
      </c>
      <c r="K165" s="3" t="s">
        <v>8</v>
      </c>
      <c r="N165" s="13"/>
    </row>
    <row r="166" spans="4:14" ht="14.25" hidden="1" x14ac:dyDescent="0.3">
      <c r="D166" s="1" t="s">
        <v>149</v>
      </c>
      <c r="I166" s="1" t="s">
        <v>212</v>
      </c>
      <c r="J166" s="2" t="s">
        <v>213</v>
      </c>
      <c r="K166" s="11">
        <f>6*K148</f>
        <v>8899.2000000000007</v>
      </c>
      <c r="L166" s="11"/>
      <c r="M166" s="11">
        <f t="shared" ref="M166:N166" si="16">6*M148</f>
        <v>8899.2000000000007</v>
      </c>
      <c r="N166" s="11">
        <f t="shared" si="16"/>
        <v>8899.2000000000007</v>
      </c>
    </row>
    <row r="167" spans="4:14" ht="14.25" hidden="1" x14ac:dyDescent="0.3">
      <c r="D167" s="1" t="s">
        <v>150</v>
      </c>
      <c r="I167" s="1" t="s">
        <v>214</v>
      </c>
      <c r="J167" s="2" t="s">
        <v>215</v>
      </c>
      <c r="K167" s="11">
        <f>2*K149*6</f>
        <v>7173.9600000000009</v>
      </c>
      <c r="L167" s="11"/>
      <c r="M167" s="11">
        <f t="shared" ref="M167:N167" si="17">2*M149*6</f>
        <v>7173.9600000000009</v>
      </c>
      <c r="N167" s="11">
        <f t="shared" si="17"/>
        <v>7173.9600000000009</v>
      </c>
    </row>
    <row r="168" spans="4:14" ht="14.25" hidden="1" x14ac:dyDescent="0.3">
      <c r="D168" s="4" t="s">
        <v>151</v>
      </c>
      <c r="I168" s="4"/>
      <c r="J168" s="5" t="s">
        <v>216</v>
      </c>
      <c r="K168" s="31">
        <f>(K166+K167)/K155*(K143+K144)</f>
        <v>77.151168000000013</v>
      </c>
      <c r="L168" s="31"/>
      <c r="M168" s="31">
        <f t="shared" ref="M168:N168" si="18">(M166+M167)/M155*(M143+M144)</f>
        <v>80.52842256000001</v>
      </c>
      <c r="N168" s="31">
        <f t="shared" si="18"/>
        <v>651.47732112000006</v>
      </c>
    </row>
    <row r="169" spans="4:14" ht="14.25" hidden="1" x14ac:dyDescent="0.3">
      <c r="D169" s="1" t="s">
        <v>152</v>
      </c>
    </row>
    <row r="170" spans="4:14" ht="14.25" hidden="1" x14ac:dyDescent="0.3">
      <c r="D170" s="1" t="s">
        <v>153</v>
      </c>
      <c r="J170" s="2" t="s">
        <v>18</v>
      </c>
      <c r="K170" s="11">
        <f>(K145+K146)*K156*1</f>
        <v>445.02692399999995</v>
      </c>
      <c r="L170" s="11"/>
      <c r="M170" s="11"/>
      <c r="N170" s="11"/>
    </row>
    <row r="171" spans="4:14" ht="14.25" hidden="1" x14ac:dyDescent="0.3">
      <c r="D171" s="4" t="s">
        <v>154</v>
      </c>
      <c r="J171" s="5" t="s">
        <v>18</v>
      </c>
      <c r="K171" s="14">
        <f>K170*K142</f>
        <v>10.595879142857141</v>
      </c>
      <c r="L171" s="14"/>
      <c r="M171" s="14">
        <f>K171/259.5*30.5</f>
        <v>1.2453730784475638</v>
      </c>
      <c r="N171" s="14">
        <f>K171/259.5*229</f>
        <v>9.3505060644095774</v>
      </c>
    </row>
    <row r="172" spans="4:14" ht="14.25" hidden="1" x14ac:dyDescent="0.3">
      <c r="D172" s="1" t="s">
        <v>155</v>
      </c>
    </row>
    <row r="173" spans="4:14" ht="14.25" hidden="1" x14ac:dyDescent="0.3">
      <c r="D173" s="1" t="s">
        <v>156</v>
      </c>
      <c r="J173" s="2" t="s">
        <v>18</v>
      </c>
      <c r="K173" s="11">
        <f>(K145+K146-K166)*K157*1</f>
        <v>162.79099199999999</v>
      </c>
      <c r="L173" s="11"/>
      <c r="M173" s="11"/>
      <c r="N173" s="11"/>
    </row>
    <row r="174" spans="4:14" ht="14.25" hidden="1" x14ac:dyDescent="0.3">
      <c r="D174" s="4" t="s">
        <v>157</v>
      </c>
      <c r="J174" s="5" t="s">
        <v>18</v>
      </c>
      <c r="K174" s="14">
        <f>K173*K142</f>
        <v>3.8759759999999996</v>
      </c>
      <c r="L174" s="14"/>
      <c r="M174" s="14">
        <f>K174/259.5*30.5</f>
        <v>0.45555787283236993</v>
      </c>
      <c r="N174" s="14">
        <f>K174/259.5*229</f>
        <v>3.4204181271676299</v>
      </c>
    </row>
    <row r="175" spans="4:14" ht="14.25" hidden="1" x14ac:dyDescent="0.3">
      <c r="D175" s="1" t="s">
        <v>158</v>
      </c>
    </row>
    <row r="176" spans="4:14" ht="14.25" hidden="1" x14ac:dyDescent="0.3">
      <c r="D176" s="1" t="s">
        <v>159</v>
      </c>
      <c r="J176" s="2" t="s">
        <v>18</v>
      </c>
      <c r="K176" s="11">
        <f>(K145+K146-K166)*K158*1</f>
        <v>135.65916000000001</v>
      </c>
      <c r="L176" s="11"/>
    </row>
    <row r="177" spans="4:14" ht="14.25" hidden="1" x14ac:dyDescent="0.3">
      <c r="D177" s="4" t="s">
        <v>160</v>
      </c>
      <c r="J177" s="5" t="s">
        <v>18</v>
      </c>
      <c r="K177" s="14">
        <f>K176*K142</f>
        <v>3.2299800000000003</v>
      </c>
      <c r="L177" s="14"/>
      <c r="M177" s="14">
        <f>K177/259.5*30.5</f>
        <v>0.37963156069364168</v>
      </c>
      <c r="N177" s="14">
        <f>K177/259.5*229</f>
        <v>2.8503484393063587</v>
      </c>
    </row>
    <row r="178" spans="4:14" ht="14.25" hidden="1" x14ac:dyDescent="0.3">
      <c r="D178" s="1" t="s">
        <v>161</v>
      </c>
    </row>
    <row r="179" spans="4:14" ht="14.25" hidden="1" x14ac:dyDescent="0.3">
      <c r="D179" s="1" t="s">
        <v>162</v>
      </c>
      <c r="J179" s="2" t="s">
        <v>18</v>
      </c>
      <c r="K179" s="11">
        <f>K150/12*1</f>
        <v>5.9233333333333329</v>
      </c>
      <c r="L179" s="11"/>
    </row>
    <row r="180" spans="4:14" ht="14.25" hidden="1" x14ac:dyDescent="0.3">
      <c r="D180" s="1" t="s">
        <v>163</v>
      </c>
      <c r="J180" s="2" t="s">
        <v>18</v>
      </c>
      <c r="K180" s="11">
        <f t="shared" ref="K180" si="19">K151/12*1</f>
        <v>4.0674999999999999</v>
      </c>
      <c r="L180" s="11"/>
    </row>
    <row r="181" spans="4:14" ht="14.25" hidden="1" x14ac:dyDescent="0.3">
      <c r="D181" s="1" t="s">
        <v>164</v>
      </c>
      <c r="J181" s="2" t="s">
        <v>18</v>
      </c>
      <c r="K181" s="11">
        <f>(K145+K146)*K152/12</f>
        <v>63.940650000000005</v>
      </c>
      <c r="L181" s="11"/>
    </row>
    <row r="182" spans="4:14" ht="14.25" hidden="1" x14ac:dyDescent="0.3">
      <c r="D182" s="1" t="s">
        <v>165</v>
      </c>
      <c r="J182" s="2" t="s">
        <v>18</v>
      </c>
      <c r="K182" s="11">
        <f>K179+K180+K181</f>
        <v>73.931483333333333</v>
      </c>
      <c r="L182" s="11"/>
    </row>
    <row r="183" spans="4:14" ht="14.25" hidden="1" x14ac:dyDescent="0.3">
      <c r="D183" s="4" t="s">
        <v>166</v>
      </c>
      <c r="J183" s="5" t="s">
        <v>18</v>
      </c>
      <c r="K183" s="14">
        <f>K182*K142</f>
        <v>1.7602734126984125</v>
      </c>
      <c r="L183" s="14"/>
      <c r="M183" s="14">
        <f>K183/259.5*30.5</f>
        <v>0.20689148010520839</v>
      </c>
      <c r="N183" s="14">
        <f>K183/259.5*229</f>
        <v>1.5533819325932041</v>
      </c>
    </row>
    <row r="184" spans="4:14" ht="14.25" hidden="1" x14ac:dyDescent="0.3">
      <c r="D184" s="4" t="s">
        <v>167</v>
      </c>
      <c r="K184" s="14">
        <f>K161+K164+K168+K171+K174+K177+K183</f>
        <v>611.76427655555551</v>
      </c>
      <c r="L184" s="14"/>
      <c r="M184" s="14">
        <f t="shared" ref="M184:N184" si="20">M161+M164+M168+M171+M174+M177+M183</f>
        <v>603.97269805207873</v>
      </c>
      <c r="N184" s="14">
        <f t="shared" si="20"/>
        <v>4884.8260811834762</v>
      </c>
    </row>
    <row r="185" spans="4:14" ht="14.4" x14ac:dyDescent="0.35">
      <c r="D185" s="4" t="s">
        <v>107</v>
      </c>
    </row>
    <row r="186" spans="4:14" ht="14.25" x14ac:dyDescent="0.3">
      <c r="D186" s="1" t="s">
        <v>108</v>
      </c>
      <c r="I186" s="12" t="s">
        <v>195</v>
      </c>
      <c r="J186" s="2" t="s">
        <v>7</v>
      </c>
      <c r="K186" s="3" t="s">
        <v>8</v>
      </c>
    </row>
    <row r="187" spans="4:14" x14ac:dyDescent="0.3">
      <c r="D187" s="1" t="s">
        <v>109</v>
      </c>
      <c r="J187" s="2" t="s">
        <v>191</v>
      </c>
      <c r="K187" s="11">
        <f>K184</f>
        <v>611.76427655555551</v>
      </c>
      <c r="L187" s="11"/>
      <c r="M187" s="11">
        <f t="shared" ref="M187:N187" si="21">M184</f>
        <v>603.97269805207873</v>
      </c>
      <c r="N187" s="11">
        <f t="shared" si="21"/>
        <v>4884.8260811834762</v>
      </c>
    </row>
    <row r="188" spans="4:14" ht="14.4" x14ac:dyDescent="0.35">
      <c r="D188" s="4" t="s">
        <v>110</v>
      </c>
      <c r="I188" s="16">
        <v>0.01</v>
      </c>
      <c r="J188" s="5" t="s">
        <v>191</v>
      </c>
      <c r="K188" s="14">
        <f>K187*I188</f>
        <v>6.117642765555555</v>
      </c>
      <c r="L188" s="14"/>
      <c r="M188" s="14">
        <f t="shared" ref="M188:N188" si="22">M187*$I$121</f>
        <v>6.0397269805207872</v>
      </c>
      <c r="N188" s="14">
        <f t="shared" si="22"/>
        <v>48.848260811834763</v>
      </c>
    </row>
    <row r="189" spans="4:14" ht="14.25" x14ac:dyDescent="0.3">
      <c r="D189" s="1" t="s">
        <v>111</v>
      </c>
    </row>
    <row r="190" spans="4:14" x14ac:dyDescent="0.3">
      <c r="D190" s="1" t="s">
        <v>112</v>
      </c>
      <c r="J190" s="2" t="s">
        <v>191</v>
      </c>
      <c r="K190" s="11">
        <f>K188+K187</f>
        <v>617.88191932111101</v>
      </c>
      <c r="L190" s="11"/>
      <c r="M190" s="11">
        <f t="shared" ref="M190:N190" si="23">M187+M188</f>
        <v>610.01242503259948</v>
      </c>
      <c r="N190" s="11">
        <f t="shared" si="23"/>
        <v>4933.6743419953109</v>
      </c>
    </row>
    <row r="191" spans="4:14" ht="14.4" x14ac:dyDescent="0.35">
      <c r="D191" s="4" t="s">
        <v>113</v>
      </c>
      <c r="I191" s="16">
        <v>0.05</v>
      </c>
      <c r="J191" s="5" t="s">
        <v>191</v>
      </c>
      <c r="K191" s="14">
        <f>K190*I191</f>
        <v>30.894095966055552</v>
      </c>
      <c r="L191" s="14"/>
      <c r="M191" s="14">
        <f t="shared" ref="M191:N191" si="24">M190*$I$124</f>
        <v>30.500621251629976</v>
      </c>
      <c r="N191" s="14">
        <f t="shared" si="24"/>
        <v>246.68371709976554</v>
      </c>
    </row>
    <row r="192" spans="4:14" x14ac:dyDescent="0.3">
      <c r="D192" s="1" t="s">
        <v>114</v>
      </c>
    </row>
    <row r="193" spans="1:17" x14ac:dyDescent="0.3">
      <c r="D193" s="1" t="s">
        <v>115</v>
      </c>
      <c r="K193" s="11">
        <f>K190+K191</f>
        <v>648.77601528716662</v>
      </c>
      <c r="L193" s="11"/>
      <c r="M193" s="11">
        <f t="shared" ref="M193:N193" si="25">M190+M191</f>
        <v>640.5130462842294</v>
      </c>
      <c r="N193" s="11">
        <f t="shared" si="25"/>
        <v>5180.3580590950769</v>
      </c>
    </row>
    <row r="194" spans="1:17" x14ac:dyDescent="0.3">
      <c r="D194" s="1" t="s">
        <v>116</v>
      </c>
      <c r="I194" s="15">
        <v>0.03</v>
      </c>
      <c r="J194" s="2" t="s">
        <v>191</v>
      </c>
      <c r="K194" s="11">
        <f>K193*I194</f>
        <v>19.463280458614999</v>
      </c>
      <c r="L194" s="11"/>
      <c r="M194" s="11">
        <f t="shared" ref="M194:N194" si="26">M193*$I$127</f>
        <v>19.215391388526882</v>
      </c>
      <c r="N194" s="11">
        <f t="shared" si="26"/>
        <v>155.4107417728523</v>
      </c>
    </row>
    <row r="195" spans="1:17" x14ac:dyDescent="0.3">
      <c r="D195" s="1" t="s">
        <v>117</v>
      </c>
      <c r="I195" s="15">
        <v>6.4999999999999997E-3</v>
      </c>
      <c r="J195" s="2" t="s">
        <v>191</v>
      </c>
      <c r="K195" s="11">
        <f>K193*I195</f>
        <v>4.217044099366583</v>
      </c>
      <c r="L195" s="11"/>
      <c r="M195" s="11">
        <f t="shared" ref="M195:N195" si="27">M193*$I$128</f>
        <v>4.1633348008474913</v>
      </c>
      <c r="N195" s="11">
        <f t="shared" si="27"/>
        <v>33.672327384117999</v>
      </c>
    </row>
    <row r="196" spans="1:17" x14ac:dyDescent="0.3">
      <c r="D196" s="1" t="s">
        <v>118</v>
      </c>
      <c r="I196" s="15">
        <v>0.02</v>
      </c>
      <c r="J196" s="2" t="s">
        <v>191</v>
      </c>
      <c r="K196" s="11">
        <f>K193*I196</f>
        <v>12.975520305743332</v>
      </c>
      <c r="L196" s="11"/>
      <c r="M196" s="11">
        <f t="shared" ref="M196:N196" si="28">M193*$I$129</f>
        <v>12.810260925684588</v>
      </c>
      <c r="N196" s="11">
        <f t="shared" si="28"/>
        <v>103.60716118190155</v>
      </c>
    </row>
    <row r="197" spans="1:17" ht="14.4" x14ac:dyDescent="0.35">
      <c r="D197" s="4" t="s">
        <v>119</v>
      </c>
      <c r="J197" s="5" t="s">
        <v>191</v>
      </c>
      <c r="K197" s="14">
        <f>K194+K195+K196</f>
        <v>36.655844863724916</v>
      </c>
      <c r="L197" s="14"/>
      <c r="M197" s="14">
        <f t="shared" ref="M197:N197" si="29">M194+M195+M196</f>
        <v>36.188987115058964</v>
      </c>
      <c r="N197" s="14">
        <f t="shared" si="29"/>
        <v>292.69023033887186</v>
      </c>
    </row>
    <row r="198" spans="1:17" ht="14.4" x14ac:dyDescent="0.35">
      <c r="D198" s="4" t="s">
        <v>120</v>
      </c>
      <c r="I198" s="16"/>
      <c r="J198" s="5" t="s">
        <v>191</v>
      </c>
      <c r="K198" s="14">
        <f>K197+K191+K188</f>
        <v>73.667583595336026</v>
      </c>
      <c r="L198" s="14"/>
      <c r="M198" s="14">
        <f t="shared" ref="M198:N198" si="30">M197+M191+M188</f>
        <v>72.729335347209727</v>
      </c>
      <c r="N198" s="14">
        <f t="shared" si="30"/>
        <v>588.22220825047214</v>
      </c>
    </row>
    <row r="199" spans="1:17" ht="14.4" x14ac:dyDescent="0.35">
      <c r="A199" s="25"/>
      <c r="B199" s="25"/>
      <c r="C199" s="25"/>
      <c r="D199" s="26" t="s">
        <v>168</v>
      </c>
      <c r="E199" s="25"/>
      <c r="F199" s="25"/>
      <c r="G199" s="25"/>
      <c r="H199" s="25"/>
      <c r="I199" s="26"/>
      <c r="J199" s="27" t="s">
        <v>191</v>
      </c>
      <c r="K199" s="28">
        <f>K198+K184</f>
        <v>685.43186015089157</v>
      </c>
      <c r="L199" s="28"/>
      <c r="M199" s="28">
        <f t="shared" ref="M199:N199" si="31">M198+M184</f>
        <v>676.70203339928844</v>
      </c>
      <c r="N199" s="28">
        <f t="shared" si="31"/>
        <v>5473.0482894339484</v>
      </c>
    </row>
    <row r="200" spans="1:17" ht="14.4" x14ac:dyDescent="0.35">
      <c r="A200" s="25"/>
      <c r="B200" s="25"/>
      <c r="C200" s="25"/>
      <c r="D200" s="26" t="s">
        <v>169</v>
      </c>
      <c r="E200" s="25"/>
      <c r="F200" s="25"/>
      <c r="G200" s="25"/>
      <c r="H200" s="25"/>
      <c r="I200" s="25"/>
      <c r="J200" s="29"/>
      <c r="K200" s="28">
        <f>K199+K132</f>
        <v>1007.7084553744326</v>
      </c>
      <c r="L200" s="28"/>
      <c r="M200" s="28">
        <f t="shared" ref="M200:N200" si="32">M199+M132</f>
        <v>1062.8646464217427</v>
      </c>
      <c r="N200" s="28">
        <f t="shared" si="32"/>
        <v>5569.7481294860945</v>
      </c>
      <c r="Q200" s="13"/>
    </row>
    <row r="201" spans="1:17" ht="14.4" x14ac:dyDescent="0.35">
      <c r="B201" s="4" t="s">
        <v>170</v>
      </c>
      <c r="C201" s="4"/>
      <c r="D201" s="4"/>
    </row>
    <row r="202" spans="1:17" ht="14.4" x14ac:dyDescent="0.35">
      <c r="B202" s="4" t="s">
        <v>232</v>
      </c>
    </row>
    <row r="203" spans="1:17" ht="14.4" x14ac:dyDescent="0.35">
      <c r="D203" s="4" t="s">
        <v>5</v>
      </c>
      <c r="J203" s="2" t="s">
        <v>7</v>
      </c>
      <c r="K203" s="3" t="s">
        <v>8</v>
      </c>
    </row>
    <row r="204" spans="1:17" x14ac:dyDescent="0.3">
      <c r="D204" s="1" t="s">
        <v>234</v>
      </c>
      <c r="J204" s="2" t="s">
        <v>233</v>
      </c>
      <c r="K204" s="3">
        <v>600</v>
      </c>
    </row>
    <row r="205" spans="1:17" x14ac:dyDescent="0.3">
      <c r="D205" s="1" t="s">
        <v>235</v>
      </c>
      <c r="J205" s="2" t="s">
        <v>233</v>
      </c>
      <c r="K205" s="3">
        <v>50</v>
      </c>
    </row>
    <row r="206" spans="1:17" ht="14.4" x14ac:dyDescent="0.35">
      <c r="D206" s="4" t="s">
        <v>13</v>
      </c>
    </row>
    <row r="207" spans="1:17" x14ac:dyDescent="0.3">
      <c r="D207" s="1" t="s">
        <v>237</v>
      </c>
      <c r="J207" s="2" t="s">
        <v>238</v>
      </c>
      <c r="K207" s="11">
        <v>0.8</v>
      </c>
      <c r="L207" s="11"/>
    </row>
    <row r="208" spans="1:17" x14ac:dyDescent="0.3">
      <c r="D208" s="1" t="s">
        <v>236</v>
      </c>
      <c r="J208" s="2" t="s">
        <v>238</v>
      </c>
      <c r="K208" s="11">
        <v>2.5</v>
      </c>
      <c r="L208" s="11"/>
    </row>
    <row r="209" spans="4:14" ht="14.4" x14ac:dyDescent="0.35">
      <c r="D209" s="4" t="s">
        <v>78</v>
      </c>
    </row>
    <row r="210" spans="4:14" x14ac:dyDescent="0.3">
      <c r="D210" s="1" t="s">
        <v>174</v>
      </c>
      <c r="N210" s="34"/>
    </row>
    <row r="211" spans="4:14" x14ac:dyDescent="0.3">
      <c r="D211" s="1" t="s">
        <v>242</v>
      </c>
      <c r="J211" s="2" t="s">
        <v>216</v>
      </c>
      <c r="K211" s="11">
        <f>(K204*K207)+(K205*K208)</f>
        <v>605</v>
      </c>
      <c r="L211" s="11"/>
    </row>
    <row r="212" spans="4:14" ht="14.4" x14ac:dyDescent="0.35">
      <c r="D212" s="4" t="s">
        <v>245</v>
      </c>
      <c r="J212" s="5" t="s">
        <v>216</v>
      </c>
      <c r="K212" s="14">
        <f>K211</f>
        <v>605</v>
      </c>
      <c r="L212" s="14"/>
    </row>
    <row r="213" spans="4:14" ht="14.4" x14ac:dyDescent="0.35">
      <c r="D213" s="4" t="s">
        <v>107</v>
      </c>
    </row>
    <row r="214" spans="4:14" ht="14.4" x14ac:dyDescent="0.35">
      <c r="D214" s="4" t="s">
        <v>108</v>
      </c>
      <c r="I214" s="12" t="s">
        <v>195</v>
      </c>
      <c r="J214" s="2" t="s">
        <v>7</v>
      </c>
      <c r="K214" s="3" t="s">
        <v>8</v>
      </c>
    </row>
    <row r="215" spans="4:14" x14ac:dyDescent="0.3">
      <c r="D215" s="1" t="s">
        <v>109</v>
      </c>
      <c r="J215" s="2" t="s">
        <v>191</v>
      </c>
      <c r="K215" s="11">
        <f>K212</f>
        <v>605</v>
      </c>
      <c r="L215" s="11"/>
    </row>
    <row r="216" spans="4:14" ht="14.4" x14ac:dyDescent="0.35">
      <c r="D216" s="4" t="s">
        <v>110</v>
      </c>
      <c r="I216" s="16">
        <v>0.01</v>
      </c>
      <c r="J216" s="5" t="s">
        <v>191</v>
      </c>
      <c r="K216" s="14">
        <f>K215*I216</f>
        <v>6.05</v>
      </c>
      <c r="L216" s="14"/>
    </row>
    <row r="217" spans="4:14" x14ac:dyDescent="0.3">
      <c r="D217" s="1" t="s">
        <v>111</v>
      </c>
    </row>
    <row r="218" spans="4:14" x14ac:dyDescent="0.3">
      <c r="D218" s="1" t="s">
        <v>112</v>
      </c>
      <c r="J218" s="2" t="s">
        <v>191</v>
      </c>
      <c r="K218" s="11">
        <f>K216+K215</f>
        <v>611.04999999999995</v>
      </c>
      <c r="L218" s="11"/>
    </row>
    <row r="219" spans="4:14" ht="14.4" x14ac:dyDescent="0.35">
      <c r="D219" s="4" t="s">
        <v>113</v>
      </c>
      <c r="I219" s="16">
        <f>I191</f>
        <v>0.05</v>
      </c>
      <c r="J219" s="5" t="s">
        <v>191</v>
      </c>
      <c r="K219" s="14">
        <f>K218*I219</f>
        <v>30.552499999999998</v>
      </c>
      <c r="L219" s="14"/>
    </row>
    <row r="220" spans="4:14" x14ac:dyDescent="0.3">
      <c r="D220" s="1" t="s">
        <v>114</v>
      </c>
    </row>
    <row r="221" spans="4:14" x14ac:dyDescent="0.3">
      <c r="D221" s="1" t="s">
        <v>115</v>
      </c>
      <c r="K221" s="11">
        <f>K218+K219</f>
        <v>641.60249999999996</v>
      </c>
      <c r="L221" s="11"/>
    </row>
    <row r="222" spans="4:14" x14ac:dyDescent="0.3">
      <c r="D222" s="1" t="s">
        <v>116</v>
      </c>
      <c r="I222" s="15">
        <v>0.03</v>
      </c>
      <c r="J222" s="2" t="s">
        <v>191</v>
      </c>
      <c r="K222" s="11">
        <f>K221*I222</f>
        <v>19.248074999999996</v>
      </c>
      <c r="L222" s="11"/>
    </row>
    <row r="223" spans="4:14" x14ac:dyDescent="0.3">
      <c r="D223" s="1" t="s">
        <v>117</v>
      </c>
      <c r="I223" s="15">
        <v>6.4999999999999997E-3</v>
      </c>
      <c r="J223" s="2" t="s">
        <v>191</v>
      </c>
      <c r="K223" s="11">
        <f>K221*I223</f>
        <v>4.1704162499999997</v>
      </c>
      <c r="L223" s="11"/>
    </row>
    <row r="224" spans="4:14" x14ac:dyDescent="0.3">
      <c r="D224" s="1" t="s">
        <v>118</v>
      </c>
      <c r="I224" s="15">
        <v>0.02</v>
      </c>
      <c r="J224" s="2" t="s">
        <v>191</v>
      </c>
      <c r="K224" s="11">
        <f>K221*I224</f>
        <v>12.832049999999999</v>
      </c>
      <c r="L224" s="11"/>
    </row>
    <row r="225" spans="1:18" ht="14.4" x14ac:dyDescent="0.35">
      <c r="D225" s="4" t="s">
        <v>119</v>
      </c>
      <c r="J225" s="5" t="s">
        <v>191</v>
      </c>
      <c r="K225" s="14">
        <f>K222+K223+K224</f>
        <v>36.250541249999998</v>
      </c>
      <c r="L225" s="14"/>
    </row>
    <row r="226" spans="1:18" ht="14.4" x14ac:dyDescent="0.35">
      <c r="D226" s="4" t="s">
        <v>120</v>
      </c>
      <c r="I226" s="16"/>
      <c r="J226" s="5" t="s">
        <v>191</v>
      </c>
      <c r="K226" s="14">
        <f>K225+K219+K216</f>
        <v>72.85304124999999</v>
      </c>
      <c r="L226" s="14"/>
    </row>
    <row r="227" spans="1:18" ht="14.4" x14ac:dyDescent="0.35">
      <c r="A227" s="25"/>
      <c r="B227" s="25"/>
      <c r="C227" s="25"/>
      <c r="D227" s="26" t="s">
        <v>244</v>
      </c>
      <c r="E227" s="25"/>
      <c r="F227" s="25"/>
      <c r="G227" s="25"/>
      <c r="H227" s="25"/>
      <c r="I227" s="26"/>
      <c r="J227" s="27" t="s">
        <v>191</v>
      </c>
      <c r="K227" s="28">
        <f>K226+K212</f>
        <v>677.85304124999993</v>
      </c>
      <c r="L227" s="35"/>
    </row>
    <row r="228" spans="1:18" ht="14.25" hidden="1" x14ac:dyDescent="0.3">
      <c r="A228" s="36"/>
      <c r="B228" s="36"/>
      <c r="C228" s="36"/>
      <c r="D228" s="37" t="s">
        <v>178</v>
      </c>
      <c r="E228" s="36"/>
      <c r="F228" s="36"/>
      <c r="G228" s="36"/>
      <c r="H228" s="36"/>
      <c r="I228" s="36"/>
      <c r="J228" s="27" t="s">
        <v>191</v>
      </c>
      <c r="K228" s="40">
        <f>K227</f>
        <v>677.85304124999993</v>
      </c>
      <c r="L228" s="35"/>
      <c r="N228" s="13"/>
    </row>
    <row r="229" spans="1:18" ht="14.25" hidden="1" x14ac:dyDescent="0.3">
      <c r="B229" s="1" t="s">
        <v>221</v>
      </c>
      <c r="N229" s="13"/>
    </row>
    <row r="230" spans="1:18" ht="14.25" hidden="1" x14ac:dyDescent="0.3">
      <c r="D230" s="1" t="s">
        <v>180</v>
      </c>
      <c r="J230" s="41" t="s">
        <v>220</v>
      </c>
      <c r="K230" s="3" t="s">
        <v>17</v>
      </c>
    </row>
    <row r="231" spans="1:18" ht="14.25" hidden="1" x14ac:dyDescent="0.3">
      <c r="D231" s="1" t="s">
        <v>181</v>
      </c>
      <c r="J231" s="11">
        <f>K132</f>
        <v>322.27659522354094</v>
      </c>
      <c r="K231" s="43">
        <f t="shared" ref="K231:K235" si="33">J231/$J$237</f>
        <v>0.19119836082453467</v>
      </c>
      <c r="L231" s="43"/>
    </row>
    <row r="232" spans="1:18" ht="14.25" hidden="1" x14ac:dyDescent="0.3">
      <c r="D232" s="1" t="s">
        <v>182</v>
      </c>
      <c r="J232" s="11">
        <f>K199</f>
        <v>685.43186015089157</v>
      </c>
      <c r="K232" s="43">
        <f t="shared" si="33"/>
        <v>0.40664897811415524</v>
      </c>
      <c r="L232" s="43"/>
    </row>
    <row r="233" spans="1:18" ht="14.25" hidden="1" x14ac:dyDescent="0.3">
      <c r="D233" s="1" t="s">
        <v>183</v>
      </c>
      <c r="J233" s="11">
        <f>J231+J232</f>
        <v>1007.7084553744326</v>
      </c>
      <c r="K233" s="43">
        <f t="shared" si="33"/>
        <v>0.59784733893868991</v>
      </c>
      <c r="L233" s="43"/>
    </row>
    <row r="234" spans="1:18" ht="14.25" hidden="1" x14ac:dyDescent="0.3">
      <c r="D234" s="1" t="s">
        <v>184</v>
      </c>
      <c r="J234" s="11"/>
      <c r="K234" s="43"/>
      <c r="L234" s="43"/>
    </row>
    <row r="235" spans="1:18" ht="14.25" hidden="1" x14ac:dyDescent="0.3">
      <c r="D235" s="1" t="s">
        <v>185</v>
      </c>
      <c r="J235" s="11">
        <f>K228</f>
        <v>677.85304124999993</v>
      </c>
      <c r="K235" s="43">
        <f t="shared" si="33"/>
        <v>0.40215266106131009</v>
      </c>
      <c r="L235" s="43"/>
    </row>
    <row r="236" spans="1:18" ht="14.25" hidden="1" x14ac:dyDescent="0.3">
      <c r="D236" s="1" t="s">
        <v>186</v>
      </c>
      <c r="J236" s="11">
        <f>J235</f>
        <v>677.85304124999993</v>
      </c>
      <c r="K236" s="43">
        <f>J236/$J$237</f>
        <v>0.40215266106131009</v>
      </c>
      <c r="L236" s="43"/>
    </row>
    <row r="237" spans="1:18" ht="14.25" hidden="1" x14ac:dyDescent="0.3">
      <c r="A237" s="25"/>
      <c r="B237" s="25"/>
      <c r="C237" s="25"/>
      <c r="D237" s="25" t="s">
        <v>187</v>
      </c>
      <c r="E237" s="25"/>
      <c r="F237" s="25"/>
      <c r="G237" s="25"/>
      <c r="H237" s="25"/>
      <c r="I237" s="25"/>
      <c r="J237" s="33">
        <f>J236+J233</f>
        <v>1685.5614966244325</v>
      </c>
      <c r="K237" s="44"/>
      <c r="L237" s="43"/>
      <c r="R237" s="13"/>
    </row>
    <row r="238" spans="1:18" ht="14.25" hidden="1" x14ac:dyDescent="0.3">
      <c r="A238" s="25"/>
      <c r="B238" s="25"/>
      <c r="C238" s="25"/>
      <c r="D238" s="25" t="s">
        <v>188</v>
      </c>
      <c r="E238" s="25"/>
      <c r="F238" s="25"/>
      <c r="G238" s="25"/>
      <c r="H238" s="25"/>
      <c r="I238" s="25"/>
      <c r="J238" s="33">
        <f>J237*12</f>
        <v>20226.737959493192</v>
      </c>
      <c r="K238" s="30"/>
      <c r="L238" s="42"/>
      <c r="N238" s="13"/>
    </row>
    <row r="239" spans="1:18" ht="40.5" hidden="1" customHeight="1" x14ac:dyDescent="0.3">
      <c r="B239" s="56" t="s">
        <v>189</v>
      </c>
      <c r="C239" s="56"/>
      <c r="D239" s="56"/>
      <c r="E239" s="56"/>
      <c r="F239" s="56"/>
      <c r="G239" s="56"/>
      <c r="H239" s="56"/>
      <c r="I239" s="56"/>
      <c r="J239" s="56"/>
      <c r="K239" s="56"/>
      <c r="L239" s="51"/>
    </row>
    <row r="240" spans="1:18" ht="14.25" hidden="1" x14ac:dyDescent="0.3"/>
    <row r="241" spans="2:12" ht="50.25" hidden="1" customHeight="1" x14ac:dyDescent="0.3">
      <c r="B241" s="56" t="s">
        <v>190</v>
      </c>
      <c r="C241" s="56"/>
      <c r="D241" s="56"/>
      <c r="E241" s="56"/>
      <c r="F241" s="56"/>
      <c r="G241" s="56"/>
      <c r="H241" s="56"/>
      <c r="I241" s="56"/>
      <c r="J241" s="56"/>
      <c r="K241" s="56"/>
      <c r="L241" s="51"/>
    </row>
  </sheetData>
  <mergeCells count="8">
    <mergeCell ref="B239:K239"/>
    <mergeCell ref="B241:K241"/>
    <mergeCell ref="B5:K5"/>
    <mergeCell ref="B6:K6"/>
    <mergeCell ref="D17:H17"/>
    <mergeCell ref="D59:H59"/>
    <mergeCell ref="D69:H69"/>
    <mergeCell ref="D73:H73"/>
  </mergeCells>
  <pageMargins left="0.51181102362204722" right="0.51181102362204722" top="0.78740157480314965" bottom="0.7874015748031496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5"/>
  <sheetViews>
    <sheetView workbookViewId="0">
      <selection activeCell="S71" sqref="S71"/>
    </sheetView>
  </sheetViews>
  <sheetFormatPr defaultColWidth="9.109375" defaultRowHeight="13.2" x14ac:dyDescent="0.3"/>
  <cols>
    <col min="1" max="1" width="4.109375" style="1" customWidth="1"/>
    <col min="2" max="2" width="9.109375" style="1"/>
    <col min="3" max="3" width="4.88671875" style="1" customWidth="1"/>
    <col min="4" max="6" width="9.109375" style="1"/>
    <col min="7" max="7" width="40.5546875" style="1" customWidth="1"/>
    <col min="8" max="8" width="11.109375" style="1" hidden="1" customWidth="1"/>
    <col min="9" max="9" width="13.5546875" style="1" bestFit="1" customWidth="1"/>
    <col min="10" max="10" width="13.33203125" style="2" customWidth="1"/>
    <col min="11" max="11" width="13.33203125" style="3" customWidth="1"/>
    <col min="12" max="12" width="5" style="3" hidden="1" customWidth="1"/>
    <col min="13" max="14" width="14.5546875" style="1" hidden="1" customWidth="1"/>
    <col min="15" max="15" width="12.88671875" style="1" hidden="1" customWidth="1"/>
    <col min="16" max="16" width="0" style="1" hidden="1" customWidth="1"/>
    <col min="17" max="16384" width="9.109375" style="1"/>
  </cols>
  <sheetData>
    <row r="2" spans="2:15" ht="24" x14ac:dyDescent="0.45">
      <c r="E2" s="32" t="s">
        <v>0</v>
      </c>
    </row>
    <row r="3" spans="2:15" ht="24" x14ac:dyDescent="0.45">
      <c r="E3" s="32" t="s">
        <v>1</v>
      </c>
    </row>
    <row r="5" spans="2:15" ht="14.25" x14ac:dyDescent="0.3">
      <c r="B5" s="57" t="str">
        <f>FormaçãoPreço!B5</f>
        <v>COLETA, TRANSPORTE E DESTINO FINAL DE RESIDUOS HOSPITALARES TIPO A - B - E</v>
      </c>
      <c r="C5" s="57"/>
      <c r="D5" s="57"/>
      <c r="E5" s="57"/>
      <c r="F5" s="57"/>
      <c r="G5" s="57"/>
      <c r="H5" s="57"/>
      <c r="I5" s="57"/>
      <c r="J5" s="57"/>
      <c r="K5" s="57"/>
      <c r="L5" s="49"/>
    </row>
    <row r="6" spans="2:15" x14ac:dyDescent="0.3">
      <c r="B6" s="57" t="s">
        <v>2</v>
      </c>
      <c r="C6" s="57"/>
      <c r="D6" s="57"/>
      <c r="E6" s="57"/>
      <c r="F6" s="57"/>
      <c r="G6" s="57"/>
      <c r="H6" s="57"/>
      <c r="I6" s="57"/>
      <c r="J6" s="57"/>
      <c r="K6" s="57"/>
      <c r="L6" s="49"/>
    </row>
    <row r="8" spans="2:15" ht="14.25" x14ac:dyDescent="0.3">
      <c r="B8" s="4" t="s">
        <v>3</v>
      </c>
    </row>
    <row r="9" spans="2:15" ht="14.4" x14ac:dyDescent="0.35">
      <c r="B9" s="4" t="s">
        <v>4</v>
      </c>
    </row>
    <row r="10" spans="2:15" ht="14.25" hidden="1" x14ac:dyDescent="0.3">
      <c r="D10" s="1" t="s">
        <v>5</v>
      </c>
      <c r="J10" s="2" t="s">
        <v>7</v>
      </c>
      <c r="K10" s="3" t="s">
        <v>8</v>
      </c>
      <c r="M10" s="49" t="s">
        <v>227</v>
      </c>
      <c r="N10" s="49" t="s">
        <v>228</v>
      </c>
      <c r="O10" s="49"/>
    </row>
    <row r="11" spans="2:15" ht="14.25" hidden="1" x14ac:dyDescent="0.3">
      <c r="C11" s="1">
        <v>1</v>
      </c>
      <c r="D11" s="1" t="s">
        <v>6</v>
      </c>
      <c r="J11" s="2" t="s">
        <v>9</v>
      </c>
      <c r="K11" s="3">
        <v>1</v>
      </c>
    </row>
    <row r="12" spans="2:15" ht="14.25" hidden="1" x14ac:dyDescent="0.3">
      <c r="C12" s="1">
        <v>2</v>
      </c>
      <c r="D12" s="1" t="s">
        <v>10</v>
      </c>
      <c r="J12" s="2" t="s">
        <v>9</v>
      </c>
      <c r="K12" s="3">
        <v>3</v>
      </c>
    </row>
    <row r="13" spans="2:15" ht="14.25" hidden="1" x14ac:dyDescent="0.3">
      <c r="C13" s="1">
        <v>3</v>
      </c>
      <c r="D13" s="4" t="s">
        <v>11</v>
      </c>
      <c r="E13" s="4"/>
      <c r="F13" s="4"/>
      <c r="G13" s="4"/>
      <c r="H13" s="4"/>
      <c r="I13" s="4"/>
      <c r="J13" s="5" t="s">
        <v>12</v>
      </c>
      <c r="K13" s="6">
        <f>K11+K12</f>
        <v>4</v>
      </c>
      <c r="L13" s="6"/>
    </row>
    <row r="14" spans="2:15" ht="14.25" hidden="1" x14ac:dyDescent="0.3">
      <c r="D14" s="4" t="s">
        <v>13</v>
      </c>
      <c r="J14" s="5" t="s">
        <v>7</v>
      </c>
      <c r="K14" s="6" t="s">
        <v>8</v>
      </c>
      <c r="L14" s="6"/>
    </row>
    <row r="15" spans="2:15" ht="14.25" hidden="1" x14ac:dyDescent="0.3">
      <c r="C15" s="1">
        <v>4</v>
      </c>
      <c r="D15" s="1" t="s">
        <v>20</v>
      </c>
      <c r="J15" s="2" t="s">
        <v>14</v>
      </c>
      <c r="K15" s="45">
        <v>16.62</v>
      </c>
      <c r="L15" s="45"/>
    </row>
    <row r="16" spans="2:15" ht="14.25" hidden="1" x14ac:dyDescent="0.3">
      <c r="C16" s="1">
        <v>5</v>
      </c>
      <c r="D16" s="1" t="s">
        <v>15</v>
      </c>
      <c r="J16" s="2" t="s">
        <v>14</v>
      </c>
      <c r="K16" s="45">
        <v>0.38</v>
      </c>
      <c r="L16" s="45"/>
    </row>
    <row r="17" spans="3:12" ht="24" hidden="1" customHeight="1" x14ac:dyDescent="0.3">
      <c r="C17" s="7">
        <v>6</v>
      </c>
      <c r="D17" s="58" t="s">
        <v>16</v>
      </c>
      <c r="E17" s="58"/>
      <c r="F17" s="58"/>
      <c r="G17" s="58"/>
      <c r="H17" s="58"/>
      <c r="I17" s="50"/>
      <c r="J17" s="2" t="s">
        <v>17</v>
      </c>
      <c r="K17" s="46">
        <v>0.53739999999999999</v>
      </c>
      <c r="L17" s="46"/>
    </row>
    <row r="18" spans="3:12" ht="14.25" hidden="1" x14ac:dyDescent="0.3">
      <c r="C18" s="1">
        <v>7</v>
      </c>
      <c r="D18" s="7" t="s">
        <v>19</v>
      </c>
      <c r="E18" s="8"/>
      <c r="F18" s="8"/>
      <c r="G18" s="8"/>
      <c r="H18" s="8"/>
      <c r="I18" s="8"/>
      <c r="J18" s="2" t="s">
        <v>18</v>
      </c>
      <c r="K18" s="9">
        <v>1615.11</v>
      </c>
      <c r="L18" s="9"/>
    </row>
    <row r="19" spans="3:12" ht="14.25" hidden="1" x14ac:dyDescent="0.3">
      <c r="C19" s="1">
        <v>8</v>
      </c>
      <c r="D19" s="1" t="s">
        <v>21</v>
      </c>
      <c r="J19" s="2" t="s">
        <v>17</v>
      </c>
      <c r="K19" s="10">
        <v>0.4</v>
      </c>
      <c r="L19" s="10"/>
    </row>
    <row r="20" spans="3:12" ht="14.25" hidden="1" x14ac:dyDescent="0.3">
      <c r="C20" s="1">
        <v>9</v>
      </c>
      <c r="D20" s="1" t="s">
        <v>22</v>
      </c>
      <c r="J20" s="2" t="s">
        <v>18</v>
      </c>
      <c r="K20" s="9">
        <v>937</v>
      </c>
      <c r="L20" s="9"/>
    </row>
    <row r="21" spans="3:12" ht="14.25" hidden="1" x14ac:dyDescent="0.3">
      <c r="C21" s="1">
        <v>10</v>
      </c>
      <c r="D21" s="1" t="s">
        <v>23</v>
      </c>
      <c r="J21" s="2" t="s">
        <v>18</v>
      </c>
      <c r="K21" s="9">
        <v>1172.97</v>
      </c>
      <c r="L21" s="9"/>
    </row>
    <row r="22" spans="3:12" ht="14.25" hidden="1" x14ac:dyDescent="0.3">
      <c r="C22" s="1">
        <v>11</v>
      </c>
      <c r="D22" s="1" t="s">
        <v>24</v>
      </c>
      <c r="J22" s="2" t="s">
        <v>17</v>
      </c>
      <c r="K22" s="10">
        <v>0.4</v>
      </c>
      <c r="L22" s="10"/>
    </row>
    <row r="23" spans="3:12" ht="14.25" hidden="1" x14ac:dyDescent="0.3">
      <c r="C23" s="1">
        <v>12</v>
      </c>
      <c r="D23" s="1" t="s">
        <v>25</v>
      </c>
      <c r="J23" s="2" t="s">
        <v>18</v>
      </c>
      <c r="K23" s="11">
        <v>1172.97</v>
      </c>
      <c r="L23" s="11"/>
    </row>
    <row r="24" spans="3:12" ht="14.25" hidden="1" x14ac:dyDescent="0.3">
      <c r="C24" s="1">
        <v>13</v>
      </c>
      <c r="D24" s="1" t="s">
        <v>27</v>
      </c>
      <c r="J24" s="2" t="s">
        <v>18</v>
      </c>
      <c r="K24" s="11">
        <v>15.55</v>
      </c>
      <c r="L24" s="11"/>
    </row>
    <row r="25" spans="3:12" ht="14.25" hidden="1" x14ac:dyDescent="0.3">
      <c r="C25" s="1">
        <v>14</v>
      </c>
      <c r="D25" s="1" t="s">
        <v>26</v>
      </c>
      <c r="J25" s="2" t="s">
        <v>17</v>
      </c>
      <c r="K25" s="10">
        <v>0.17499999999999999</v>
      </c>
      <c r="L25" s="10"/>
    </row>
    <row r="26" spans="3:12" ht="14.25" hidden="1" x14ac:dyDescent="0.3">
      <c r="C26" s="1">
        <v>15</v>
      </c>
      <c r="D26" s="1" t="s">
        <v>28</v>
      </c>
      <c r="J26" s="2" t="s">
        <v>18</v>
      </c>
      <c r="K26" s="11">
        <v>3</v>
      </c>
      <c r="L26" s="11"/>
    </row>
    <row r="27" spans="3:12" ht="14.25" hidden="1" x14ac:dyDescent="0.3">
      <c r="C27" s="1">
        <v>16</v>
      </c>
      <c r="D27" s="1" t="s">
        <v>29</v>
      </c>
      <c r="J27" s="2" t="s">
        <v>17</v>
      </c>
      <c r="K27" s="10">
        <v>0.06</v>
      </c>
      <c r="L27" s="10"/>
    </row>
    <row r="28" spans="3:12" ht="14.25" hidden="1" x14ac:dyDescent="0.3">
      <c r="C28" s="1">
        <v>17</v>
      </c>
      <c r="D28" s="1" t="s">
        <v>30</v>
      </c>
      <c r="J28" s="2" t="s">
        <v>18</v>
      </c>
      <c r="K28" s="11">
        <v>39</v>
      </c>
      <c r="L28" s="11"/>
    </row>
    <row r="29" spans="3:12" ht="14.25" hidden="1" x14ac:dyDescent="0.3">
      <c r="C29" s="1">
        <v>18</v>
      </c>
      <c r="D29" s="1" t="s">
        <v>31</v>
      </c>
      <c r="J29" s="2" t="s">
        <v>18</v>
      </c>
      <c r="K29" s="11">
        <v>34</v>
      </c>
      <c r="L29" s="11"/>
    </row>
    <row r="30" spans="3:12" ht="14.25" hidden="1" x14ac:dyDescent="0.3">
      <c r="C30" s="1">
        <v>19</v>
      </c>
      <c r="D30" s="1" t="s">
        <v>32</v>
      </c>
      <c r="J30" s="2" t="s">
        <v>18</v>
      </c>
      <c r="K30" s="11">
        <v>39.5</v>
      </c>
      <c r="L30" s="11"/>
    </row>
    <row r="31" spans="3:12" ht="14.25" hidden="1" x14ac:dyDescent="0.3">
      <c r="C31" s="1">
        <v>20</v>
      </c>
      <c r="D31" s="1" t="s">
        <v>33</v>
      </c>
      <c r="J31" s="2" t="s">
        <v>18</v>
      </c>
      <c r="K31" s="11">
        <v>11.33</v>
      </c>
      <c r="L31" s="11"/>
    </row>
    <row r="32" spans="3:12" ht="14.25" hidden="1" x14ac:dyDescent="0.3">
      <c r="C32" s="1">
        <v>21</v>
      </c>
      <c r="D32" s="1" t="s">
        <v>34</v>
      </c>
      <c r="J32" s="2" t="s">
        <v>18</v>
      </c>
      <c r="K32" s="11">
        <v>42.67</v>
      </c>
      <c r="L32" s="11"/>
    </row>
    <row r="33" spans="3:12" ht="14.25" hidden="1" x14ac:dyDescent="0.3">
      <c r="C33" s="1">
        <v>22</v>
      </c>
      <c r="D33" s="1" t="s">
        <v>35</v>
      </c>
      <c r="J33" s="2" t="s">
        <v>18</v>
      </c>
      <c r="K33" s="11">
        <v>29.67</v>
      </c>
      <c r="L33" s="11"/>
    </row>
    <row r="34" spans="3:12" ht="14.25" hidden="1" x14ac:dyDescent="0.3">
      <c r="C34" s="1">
        <v>23</v>
      </c>
      <c r="D34" s="1" t="s">
        <v>36</v>
      </c>
      <c r="J34" s="2" t="s">
        <v>18</v>
      </c>
      <c r="K34" s="11">
        <v>11.63</v>
      </c>
      <c r="L34" s="11"/>
    </row>
    <row r="35" spans="3:12" x14ac:dyDescent="0.3">
      <c r="D35" s="1" t="s">
        <v>37</v>
      </c>
    </row>
    <row r="36" spans="3:12" ht="14.25" x14ac:dyDescent="0.3">
      <c r="D36" s="1" t="s">
        <v>38</v>
      </c>
    </row>
    <row r="37" spans="3:12" ht="14.25" x14ac:dyDescent="0.3">
      <c r="D37" s="1" t="s">
        <v>41</v>
      </c>
      <c r="J37" s="2" t="s">
        <v>17</v>
      </c>
      <c r="K37" s="10">
        <v>0.2</v>
      </c>
      <c r="L37" s="10"/>
    </row>
    <row r="38" spans="3:12" ht="14.25" x14ac:dyDescent="0.3">
      <c r="D38" s="1" t="s">
        <v>39</v>
      </c>
      <c r="J38" s="2" t="s">
        <v>17</v>
      </c>
      <c r="K38" s="10">
        <v>0.08</v>
      </c>
      <c r="L38" s="10"/>
    </row>
    <row r="39" spans="3:12" x14ac:dyDescent="0.3">
      <c r="D39" s="1" t="s">
        <v>40</v>
      </c>
      <c r="J39" s="2" t="s">
        <v>17</v>
      </c>
      <c r="K39" s="10">
        <v>2.5000000000000001E-2</v>
      </c>
      <c r="L39" s="10"/>
    </row>
    <row r="40" spans="3:12" ht="14.25" x14ac:dyDescent="0.3">
      <c r="D40" s="1" t="s">
        <v>42</v>
      </c>
      <c r="J40" s="2" t="s">
        <v>17</v>
      </c>
      <c r="K40" s="10">
        <v>1.4999999999999999E-2</v>
      </c>
      <c r="L40" s="10"/>
    </row>
    <row r="41" spans="3:12" ht="14.25" x14ac:dyDescent="0.3">
      <c r="D41" s="1" t="s">
        <v>43</v>
      </c>
      <c r="J41" s="2" t="s">
        <v>17</v>
      </c>
      <c r="K41" s="10">
        <v>0.01</v>
      </c>
      <c r="L41" s="10"/>
    </row>
    <row r="42" spans="3:12" ht="14.25" x14ac:dyDescent="0.3">
      <c r="D42" s="1" t="s">
        <v>44</v>
      </c>
      <c r="J42" s="2" t="s">
        <v>17</v>
      </c>
      <c r="K42" s="10">
        <v>2E-3</v>
      </c>
      <c r="L42" s="10"/>
    </row>
    <row r="43" spans="3:12" ht="14.25" x14ac:dyDescent="0.3">
      <c r="D43" s="1" t="s">
        <v>45</v>
      </c>
      <c r="J43" s="2" t="s">
        <v>17</v>
      </c>
      <c r="K43" s="10">
        <v>0.06</v>
      </c>
      <c r="L43" s="10"/>
    </row>
    <row r="44" spans="3:12" ht="14.25" x14ac:dyDescent="0.3">
      <c r="D44" s="1" t="s">
        <v>46</v>
      </c>
      <c r="J44" s="2" t="s">
        <v>17</v>
      </c>
      <c r="K44" s="10">
        <v>6.0000000000000001E-3</v>
      </c>
      <c r="L44" s="10"/>
    </row>
    <row r="45" spans="3:12" ht="14.25" x14ac:dyDescent="0.3">
      <c r="D45" s="1" t="s">
        <v>47</v>
      </c>
      <c r="J45" s="2" t="s">
        <v>17</v>
      </c>
      <c r="K45" s="10">
        <f>SUM(K37:K44)</f>
        <v>0.39800000000000008</v>
      </c>
      <c r="L45" s="10"/>
    </row>
    <row r="46" spans="3:12" ht="14.25" x14ac:dyDescent="0.3">
      <c r="D46" s="1" t="s">
        <v>48</v>
      </c>
    </row>
    <row r="47" spans="3:12" x14ac:dyDescent="0.3">
      <c r="D47" s="1" t="s">
        <v>49</v>
      </c>
      <c r="H47" s="2"/>
      <c r="I47" s="2"/>
      <c r="J47" s="2" t="s">
        <v>17</v>
      </c>
      <c r="K47" s="10">
        <v>8.3299999999999999E-2</v>
      </c>
      <c r="L47" s="10"/>
    </row>
    <row r="48" spans="3:12" x14ac:dyDescent="0.3">
      <c r="D48" s="1" t="s">
        <v>50</v>
      </c>
      <c r="H48" s="2"/>
      <c r="I48" s="2"/>
      <c r="J48" s="2" t="s">
        <v>17</v>
      </c>
      <c r="K48" s="10">
        <v>8.3299999999999999E-2</v>
      </c>
      <c r="L48" s="10"/>
    </row>
    <row r="49" spans="3:12" x14ac:dyDescent="0.3">
      <c r="D49" s="1" t="s">
        <v>51</v>
      </c>
      <c r="J49" s="2" t="s">
        <v>17</v>
      </c>
      <c r="K49" s="10">
        <v>1.9199999999999998E-2</v>
      </c>
      <c r="L49" s="10"/>
    </row>
    <row r="50" spans="3:12" x14ac:dyDescent="0.3">
      <c r="D50" s="1" t="s">
        <v>52</v>
      </c>
      <c r="J50" s="2" t="s">
        <v>17</v>
      </c>
      <c r="K50" s="10">
        <v>1.37E-2</v>
      </c>
      <c r="L50" s="10"/>
    </row>
    <row r="51" spans="3:12" ht="14.25" x14ac:dyDescent="0.3">
      <c r="D51" s="1" t="s">
        <v>53</v>
      </c>
      <c r="J51" s="2" t="s">
        <v>17</v>
      </c>
      <c r="K51" s="10">
        <v>3.3E-3</v>
      </c>
      <c r="L51" s="10"/>
    </row>
    <row r="52" spans="3:12" ht="14.25" x14ac:dyDescent="0.3">
      <c r="D52" s="1" t="s">
        <v>54</v>
      </c>
      <c r="J52" s="2" t="s">
        <v>17</v>
      </c>
      <c r="K52" s="10">
        <v>2.7000000000000001E-3</v>
      </c>
      <c r="L52" s="10"/>
    </row>
    <row r="53" spans="3:12" x14ac:dyDescent="0.3">
      <c r="D53" s="1" t="s">
        <v>55</v>
      </c>
      <c r="J53" s="2" t="s">
        <v>17</v>
      </c>
      <c r="K53" s="10">
        <v>5.9999999999999995E-4</v>
      </c>
      <c r="L53" s="10"/>
    </row>
    <row r="54" spans="3:12" x14ac:dyDescent="0.3">
      <c r="D54" s="1" t="s">
        <v>56</v>
      </c>
      <c r="J54" s="2" t="s">
        <v>17</v>
      </c>
      <c r="K54" s="10">
        <v>2.0000000000000001E-4</v>
      </c>
      <c r="L54" s="10"/>
    </row>
    <row r="55" spans="3:12" ht="14.25" x14ac:dyDescent="0.3">
      <c r="D55" s="1" t="s">
        <v>57</v>
      </c>
      <c r="J55" s="2" t="s">
        <v>17</v>
      </c>
      <c r="K55" s="10">
        <f>SUM(K47:K54)</f>
        <v>0.20629999999999998</v>
      </c>
      <c r="L55" s="10"/>
    </row>
    <row r="56" spans="3:12" x14ac:dyDescent="0.3">
      <c r="D56" s="1" t="s">
        <v>58</v>
      </c>
    </row>
    <row r="57" spans="3:12" x14ac:dyDescent="0.3">
      <c r="D57" s="1" t="s">
        <v>59</v>
      </c>
      <c r="J57" s="2" t="s">
        <v>17</v>
      </c>
      <c r="K57" s="10">
        <v>4.1999999999999997E-3</v>
      </c>
      <c r="L57" s="10"/>
    </row>
    <row r="58" spans="3:12" x14ac:dyDescent="0.3">
      <c r="D58" s="1" t="s">
        <v>60</v>
      </c>
      <c r="J58" s="2" t="s">
        <v>17</v>
      </c>
      <c r="K58" s="10">
        <v>1.6999999999999999E-3</v>
      </c>
      <c r="L58" s="10"/>
    </row>
    <row r="59" spans="3:12" ht="27" customHeight="1" x14ac:dyDescent="0.3">
      <c r="C59" s="7"/>
      <c r="D59" s="58" t="s">
        <v>61</v>
      </c>
      <c r="E59" s="58"/>
      <c r="F59" s="58"/>
      <c r="G59" s="58"/>
      <c r="H59" s="58"/>
      <c r="I59" s="50"/>
      <c r="J59" s="2" t="s">
        <v>17</v>
      </c>
      <c r="K59" s="10">
        <v>3.2000000000000001E-2</v>
      </c>
      <c r="L59" s="10"/>
    </row>
    <row r="60" spans="3:12" x14ac:dyDescent="0.3">
      <c r="D60" s="1" t="s">
        <v>62</v>
      </c>
      <c r="J60" s="2" t="s">
        <v>17</v>
      </c>
      <c r="K60" s="10">
        <v>8.0000000000000002E-3</v>
      </c>
      <c r="L60" s="10"/>
    </row>
    <row r="61" spans="3:12" x14ac:dyDescent="0.3">
      <c r="D61" s="1" t="s">
        <v>63</v>
      </c>
      <c r="J61" s="2" t="s">
        <v>17</v>
      </c>
      <c r="K61" s="10">
        <v>2.7799999999999998E-2</v>
      </c>
      <c r="L61" s="10"/>
    </row>
    <row r="62" spans="3:12" x14ac:dyDescent="0.3">
      <c r="D62" s="1" t="s">
        <v>64</v>
      </c>
      <c r="J62" s="2" t="s">
        <v>17</v>
      </c>
      <c r="K62" s="10">
        <v>2.0000000000000001E-4</v>
      </c>
      <c r="L62" s="10"/>
    </row>
    <row r="63" spans="3:12" x14ac:dyDescent="0.3">
      <c r="D63" s="1" t="s">
        <v>65</v>
      </c>
      <c r="J63" s="2" t="s">
        <v>17</v>
      </c>
      <c r="K63" s="10">
        <v>7.3899999999999993E-2</v>
      </c>
      <c r="L63" s="10"/>
    </row>
    <row r="64" spans="3:12" x14ac:dyDescent="0.3">
      <c r="D64" s="1" t="s">
        <v>66</v>
      </c>
      <c r="K64" s="10"/>
      <c r="L64" s="10"/>
    </row>
    <row r="65" spans="3:15" x14ac:dyDescent="0.3">
      <c r="D65" s="1" t="s">
        <v>67</v>
      </c>
      <c r="J65" s="2" t="s">
        <v>17</v>
      </c>
      <c r="K65" s="10">
        <v>8.2100000000000006E-2</v>
      </c>
      <c r="L65" s="10"/>
    </row>
    <row r="66" spans="3:15" x14ac:dyDescent="0.3">
      <c r="D66" s="1" t="s">
        <v>68</v>
      </c>
      <c r="J66" s="2" t="s">
        <v>17</v>
      </c>
      <c r="K66" s="10">
        <v>8.2100000000000006E-2</v>
      </c>
      <c r="L66" s="10"/>
    </row>
    <row r="67" spans="3:15" x14ac:dyDescent="0.3">
      <c r="D67" s="1" t="s">
        <v>69</v>
      </c>
    </row>
    <row r="68" spans="3:15" x14ac:dyDescent="0.3">
      <c r="D68" s="1" t="s">
        <v>70</v>
      </c>
      <c r="J68" s="2" t="s">
        <v>17</v>
      </c>
      <c r="K68" s="10">
        <v>2.9999999999999997E-4</v>
      </c>
      <c r="L68" s="10"/>
    </row>
    <row r="69" spans="3:15" ht="26.25" customHeight="1" x14ac:dyDescent="0.3">
      <c r="C69" s="7"/>
      <c r="D69" s="58" t="s">
        <v>71</v>
      </c>
      <c r="E69" s="58"/>
      <c r="F69" s="58"/>
      <c r="G69" s="58"/>
      <c r="H69" s="58"/>
      <c r="I69" s="50"/>
      <c r="J69" s="2" t="s">
        <v>17</v>
      </c>
      <c r="K69" s="10">
        <v>2.9999999999999997E-4</v>
      </c>
      <c r="L69" s="10"/>
    </row>
    <row r="70" spans="3:15" x14ac:dyDescent="0.3">
      <c r="D70" s="1" t="s">
        <v>72</v>
      </c>
      <c r="J70" s="2" t="s">
        <v>17</v>
      </c>
      <c r="K70" s="10">
        <v>2.2000000000000001E-3</v>
      </c>
      <c r="L70" s="10"/>
    </row>
    <row r="71" spans="3:15" x14ac:dyDescent="0.3">
      <c r="D71" s="1" t="s">
        <v>73</v>
      </c>
      <c r="J71" s="2" t="s">
        <v>17</v>
      </c>
      <c r="K71" s="10">
        <v>2.8E-3</v>
      </c>
      <c r="L71" s="10"/>
    </row>
    <row r="72" spans="3:15" x14ac:dyDescent="0.3">
      <c r="D72" s="1" t="s">
        <v>74</v>
      </c>
      <c r="K72" s="10"/>
      <c r="L72" s="10"/>
    </row>
    <row r="73" spans="3:15" ht="27.75" customHeight="1" x14ac:dyDescent="0.3">
      <c r="C73" s="7"/>
      <c r="D73" s="58" t="s">
        <v>75</v>
      </c>
      <c r="E73" s="58"/>
      <c r="F73" s="58"/>
      <c r="G73" s="58"/>
      <c r="H73" s="58"/>
      <c r="I73" s="50"/>
      <c r="J73" s="2" t="s">
        <v>17</v>
      </c>
      <c r="K73" s="10">
        <v>2.7000000000000001E-3</v>
      </c>
      <c r="L73" s="10"/>
    </row>
    <row r="74" spans="3:15" x14ac:dyDescent="0.3">
      <c r="D74" s="1" t="s">
        <v>76</v>
      </c>
      <c r="J74" s="2" t="s">
        <v>17</v>
      </c>
      <c r="K74" s="10">
        <v>2.7000000000000001E-3</v>
      </c>
      <c r="L74" s="10"/>
    </row>
    <row r="75" spans="3:15" x14ac:dyDescent="0.3">
      <c r="D75" s="1" t="s">
        <v>77</v>
      </c>
      <c r="J75" s="2" t="s">
        <v>17</v>
      </c>
      <c r="K75" s="10">
        <v>0.76580000000000004</v>
      </c>
      <c r="L75" s="10"/>
    </row>
    <row r="76" spans="3:15" ht="14.25" hidden="1" x14ac:dyDescent="0.3">
      <c r="D76" s="4" t="s">
        <v>78</v>
      </c>
    </row>
    <row r="77" spans="3:15" ht="14.25" hidden="1" x14ac:dyDescent="0.3">
      <c r="D77" s="1" t="s">
        <v>79</v>
      </c>
      <c r="J77" s="2" t="s">
        <v>7</v>
      </c>
      <c r="K77" s="3" t="s">
        <v>8</v>
      </c>
    </row>
    <row r="78" spans="3:15" ht="14.25" hidden="1" x14ac:dyDescent="0.3">
      <c r="C78" s="1">
        <v>58</v>
      </c>
      <c r="D78" s="1" t="s">
        <v>82</v>
      </c>
      <c r="J78" s="2" t="s">
        <v>191</v>
      </c>
      <c r="K78" s="11">
        <v>1615.11</v>
      </c>
      <c r="L78" s="11"/>
      <c r="M78" s="13">
        <f>K78/8.61*5.35</f>
        <v>1003.5817073170731</v>
      </c>
      <c r="N78" s="13">
        <f>K78/8.61*3.26</f>
        <v>611.5282926829268</v>
      </c>
      <c r="O78" s="13">
        <v>5.32</v>
      </c>
    </row>
    <row r="79" spans="3:15" ht="14.25" hidden="1" x14ac:dyDescent="0.3">
      <c r="C79" s="1">
        <v>59</v>
      </c>
      <c r="D79" s="1" t="s">
        <v>80</v>
      </c>
      <c r="J79" s="2" t="s">
        <v>191</v>
      </c>
      <c r="K79" s="11">
        <v>374.8</v>
      </c>
      <c r="L79" s="11"/>
      <c r="M79" s="13">
        <f>K79/8.61*5.35</f>
        <v>232.88966318234614</v>
      </c>
      <c r="N79" s="13">
        <f>K79/8.61*3.26</f>
        <v>141.9103368176539</v>
      </c>
      <c r="O79" s="13">
        <v>3.26</v>
      </c>
    </row>
    <row r="80" spans="3:15" ht="14.25" hidden="1" x14ac:dyDescent="0.3">
      <c r="C80" s="1">
        <v>60</v>
      </c>
      <c r="D80" s="1" t="s">
        <v>81</v>
      </c>
      <c r="J80" s="2" t="s">
        <v>191</v>
      </c>
      <c r="K80" s="11">
        <f>(K78+K79)/220*2*7.33*K16</f>
        <v>50.388139218181813</v>
      </c>
      <c r="L80" s="11"/>
      <c r="M80" s="13">
        <f>K80/O80*O78</f>
        <v>31.242995412672176</v>
      </c>
      <c r="N80" s="13">
        <f>K80/O80*O79</f>
        <v>19.14514380550964</v>
      </c>
      <c r="O80" s="13">
        <f>O78+O79</f>
        <v>8.58</v>
      </c>
    </row>
    <row r="81" spans="3:15" ht="14.25" hidden="1" x14ac:dyDescent="0.3">
      <c r="C81" s="1">
        <v>61</v>
      </c>
      <c r="D81" s="1" t="s">
        <v>83</v>
      </c>
      <c r="J81" s="2" t="s">
        <v>191</v>
      </c>
      <c r="K81" s="11">
        <f>K23*K12</f>
        <v>3518.91</v>
      </c>
      <c r="L81" s="11"/>
      <c r="M81" s="13">
        <v>3518.91</v>
      </c>
      <c r="N81" s="13"/>
      <c r="O81" s="13"/>
    </row>
    <row r="82" spans="3:15" ht="14.25" hidden="1" x14ac:dyDescent="0.3">
      <c r="C82" s="1">
        <v>62</v>
      </c>
      <c r="D82" s="1" t="s">
        <v>80</v>
      </c>
      <c r="J82" s="2" t="s">
        <v>191</v>
      </c>
      <c r="K82" s="11">
        <f>K81*40/100</f>
        <v>1407.5639999999999</v>
      </c>
      <c r="L82" s="11"/>
      <c r="M82" s="13">
        <v>1407.56</v>
      </c>
      <c r="N82" s="13"/>
      <c r="O82" s="13"/>
    </row>
    <row r="83" spans="3:15" ht="14.25" hidden="1" x14ac:dyDescent="0.3">
      <c r="C83" s="1">
        <v>63</v>
      </c>
      <c r="D83" s="1" t="s">
        <v>81</v>
      </c>
      <c r="J83" s="2" t="s">
        <v>191</v>
      </c>
      <c r="K83" s="11">
        <f>(K81+K82)/220*2*7.33*K16</f>
        <v>124.74727890545455</v>
      </c>
      <c r="L83" s="11"/>
      <c r="M83" s="13">
        <v>124.75</v>
      </c>
      <c r="N83" s="13"/>
      <c r="O83" s="13"/>
    </row>
    <row r="84" spans="3:15" ht="14.25" hidden="1" x14ac:dyDescent="0.3">
      <c r="C84" s="1">
        <v>64</v>
      </c>
      <c r="D84" s="1" t="s">
        <v>84</v>
      </c>
      <c r="J84" s="2" t="s">
        <v>191</v>
      </c>
      <c r="K84" s="11">
        <f>SUM(K78:K83)</f>
        <v>7091.5194181236357</v>
      </c>
      <c r="L84" s="11"/>
      <c r="M84" s="13">
        <f>M81+M82+M83+M80+M79+M78</f>
        <v>6318.9343659120905</v>
      </c>
      <c r="N84" s="13">
        <f>N80+N79+N78</f>
        <v>772.58377330609028</v>
      </c>
      <c r="O84" s="13"/>
    </row>
    <row r="85" spans="3:15" ht="14.25" hidden="1" x14ac:dyDescent="0.3">
      <c r="C85" s="1">
        <v>65</v>
      </c>
      <c r="D85" s="4" t="s">
        <v>85</v>
      </c>
      <c r="J85" s="5" t="s">
        <v>191</v>
      </c>
      <c r="K85" s="14">
        <f>K84*K17</f>
        <v>3810.9825352996418</v>
      </c>
      <c r="L85" s="14"/>
      <c r="M85" s="47">
        <f>M84*K17</f>
        <v>3395.7953282411572</v>
      </c>
      <c r="N85" s="47">
        <f>N84*K17</f>
        <v>415.1865197746929</v>
      </c>
      <c r="O85" s="47"/>
    </row>
    <row r="86" spans="3:15" ht="14.25" hidden="1" x14ac:dyDescent="0.3">
      <c r="D86" s="1" t="s">
        <v>86</v>
      </c>
    </row>
    <row r="87" spans="3:15" ht="14.25" hidden="1" x14ac:dyDescent="0.3">
      <c r="C87" s="1">
        <v>66</v>
      </c>
      <c r="D87" s="1" t="s">
        <v>87</v>
      </c>
      <c r="J87" s="2" t="s">
        <v>191</v>
      </c>
      <c r="K87" s="11">
        <f>K85*K75</f>
        <v>2918.4504255324659</v>
      </c>
      <c r="L87" s="11"/>
      <c r="M87" s="13">
        <f>M85*$K$75</f>
        <v>2600.5000623670785</v>
      </c>
      <c r="N87" s="13">
        <f>N85*$K$75+0.01</f>
        <v>317.95983684345981</v>
      </c>
      <c r="O87" s="13"/>
    </row>
    <row r="88" spans="3:15" ht="14.25" hidden="1" x14ac:dyDescent="0.3">
      <c r="C88" s="1">
        <v>67</v>
      </c>
      <c r="D88" s="4" t="s">
        <v>88</v>
      </c>
      <c r="J88" s="5" t="s">
        <v>191</v>
      </c>
      <c r="K88" s="14">
        <f>K87</f>
        <v>2918.4504255324659</v>
      </c>
      <c r="L88" s="14"/>
      <c r="M88" s="47">
        <f>M87</f>
        <v>2600.5000623670785</v>
      </c>
      <c r="N88" s="47">
        <f>N87</f>
        <v>317.95983684345981</v>
      </c>
    </row>
    <row r="89" spans="3:15" ht="14.25" hidden="1" x14ac:dyDescent="0.3">
      <c r="D89" s="1" t="s">
        <v>89</v>
      </c>
    </row>
    <row r="90" spans="3:15" ht="14.25" hidden="1" x14ac:dyDescent="0.3">
      <c r="C90" s="1">
        <v>68</v>
      </c>
      <c r="D90" s="1" t="s">
        <v>82</v>
      </c>
      <c r="J90" s="2" t="s">
        <v>191</v>
      </c>
      <c r="K90" s="11">
        <f>K24*K15*K11</f>
        <v>258.44100000000003</v>
      </c>
      <c r="L90" s="11"/>
      <c r="N90" s="13">
        <f>K90+K91</f>
        <v>213.21382500000004</v>
      </c>
    </row>
    <row r="91" spans="3:15" ht="14.25" hidden="1" x14ac:dyDescent="0.3">
      <c r="C91" s="1">
        <v>69</v>
      </c>
      <c r="D91" s="1" t="s">
        <v>90</v>
      </c>
      <c r="J91" s="2" t="s">
        <v>191</v>
      </c>
      <c r="K91" s="11">
        <f>K90*K25*-1</f>
        <v>-45.227175000000003</v>
      </c>
      <c r="L91" s="11"/>
    </row>
    <row r="92" spans="3:15" ht="14.25" hidden="1" x14ac:dyDescent="0.3">
      <c r="C92" s="1">
        <v>70</v>
      </c>
      <c r="D92" s="1" t="s">
        <v>83</v>
      </c>
      <c r="J92" s="2" t="s">
        <v>191</v>
      </c>
      <c r="K92" s="11">
        <f>K24*K15*K12</f>
        <v>775.32300000000009</v>
      </c>
      <c r="L92" s="11"/>
      <c r="M92" s="13">
        <f>K92+K93</f>
        <v>639.64147500000013</v>
      </c>
    </row>
    <row r="93" spans="3:15" ht="14.25" hidden="1" x14ac:dyDescent="0.3">
      <c r="C93" s="1">
        <v>71</v>
      </c>
      <c r="D93" s="1" t="s">
        <v>90</v>
      </c>
      <c r="J93" s="2" t="s">
        <v>191</v>
      </c>
      <c r="K93" s="11">
        <f>K92*K25*-1</f>
        <v>-135.68152499999999</v>
      </c>
      <c r="L93" s="11"/>
    </row>
    <row r="94" spans="3:15" ht="14.25" hidden="1" x14ac:dyDescent="0.3">
      <c r="C94" s="1">
        <v>72</v>
      </c>
      <c r="D94" s="4" t="s">
        <v>91</v>
      </c>
      <c r="J94" s="5" t="s">
        <v>191</v>
      </c>
      <c r="K94" s="14">
        <f>K90+K91+K92+K93</f>
        <v>852.85530000000017</v>
      </c>
      <c r="L94" s="14"/>
      <c r="M94" s="13">
        <f>M92</f>
        <v>639.64147500000013</v>
      </c>
      <c r="N94" s="13">
        <f>N90</f>
        <v>213.21382500000004</v>
      </c>
    </row>
    <row r="95" spans="3:15" ht="14.25" hidden="1" x14ac:dyDescent="0.3">
      <c r="D95" s="1" t="s">
        <v>92</v>
      </c>
    </row>
    <row r="96" spans="3:15" ht="14.25" hidden="1" x14ac:dyDescent="0.3">
      <c r="C96" s="1">
        <v>73</v>
      </c>
      <c r="D96" s="1" t="s">
        <v>82</v>
      </c>
      <c r="J96" s="2" t="s">
        <v>191</v>
      </c>
      <c r="K96" s="11">
        <f>K26*2*K15*K11</f>
        <v>99.72</v>
      </c>
      <c r="L96" s="11"/>
      <c r="N96" s="13">
        <f>K96+K97</f>
        <v>47.642393160000005</v>
      </c>
    </row>
    <row r="97" spans="3:14" ht="14.25" hidden="1" x14ac:dyDescent="0.3">
      <c r="C97" s="1">
        <v>74</v>
      </c>
      <c r="D97" s="1" t="s">
        <v>93</v>
      </c>
      <c r="J97" s="2" t="s">
        <v>191</v>
      </c>
      <c r="K97" s="11">
        <f>K18*K17*-K27*K11</f>
        <v>-52.077606839999994</v>
      </c>
      <c r="L97" s="11"/>
    </row>
    <row r="98" spans="3:14" ht="14.25" hidden="1" x14ac:dyDescent="0.3">
      <c r="C98" s="1">
        <v>75</v>
      </c>
      <c r="D98" s="1" t="s">
        <v>83</v>
      </c>
      <c r="J98" s="2" t="s">
        <v>191</v>
      </c>
      <c r="K98" s="11">
        <f>K26*2*K15*K12</f>
        <v>299.15999999999997</v>
      </c>
      <c r="L98" s="11"/>
      <c r="M98" s="13">
        <f>K98+K99</f>
        <v>185.69626595999998</v>
      </c>
    </row>
    <row r="99" spans="3:14" ht="14.25" hidden="1" x14ac:dyDescent="0.3">
      <c r="C99" s="1">
        <v>76</v>
      </c>
      <c r="D99" s="1" t="s">
        <v>93</v>
      </c>
      <c r="J99" s="2" t="s">
        <v>191</v>
      </c>
      <c r="K99" s="11">
        <f>K21*K17*-K27*K12</f>
        <v>-113.46373403999999</v>
      </c>
      <c r="L99" s="11"/>
    </row>
    <row r="100" spans="3:14" ht="14.25" hidden="1" x14ac:dyDescent="0.3">
      <c r="C100" s="1">
        <v>77</v>
      </c>
      <c r="D100" s="4" t="s">
        <v>94</v>
      </c>
      <c r="J100" s="5" t="s">
        <v>191</v>
      </c>
      <c r="K100" s="14">
        <f>SUM(K96:K99)</f>
        <v>233.33865911999996</v>
      </c>
      <c r="L100" s="14"/>
      <c r="M100" s="13">
        <f>M98</f>
        <v>185.69626595999998</v>
      </c>
      <c r="N100" s="13">
        <f>N96</f>
        <v>47.642393160000005</v>
      </c>
    </row>
    <row r="101" spans="3:14" ht="14.25" hidden="1" x14ac:dyDescent="0.3">
      <c r="D101" s="1" t="s">
        <v>95</v>
      </c>
      <c r="I101" s="12" t="s">
        <v>195</v>
      </c>
      <c r="J101" s="2" t="s">
        <v>7</v>
      </c>
      <c r="K101" s="3" t="s">
        <v>8</v>
      </c>
    </row>
    <row r="102" spans="3:14" ht="14.25" hidden="1" x14ac:dyDescent="0.3">
      <c r="D102" s="1" t="s">
        <v>82</v>
      </c>
    </row>
    <row r="103" spans="3:14" ht="14.25" hidden="1" x14ac:dyDescent="0.3">
      <c r="C103" s="1">
        <v>78</v>
      </c>
      <c r="D103" s="1" t="s">
        <v>96</v>
      </c>
      <c r="I103" s="1" t="s">
        <v>192</v>
      </c>
      <c r="J103" s="2" t="s">
        <v>193</v>
      </c>
      <c r="K103" s="11">
        <v>6.5</v>
      </c>
      <c r="L103" s="11"/>
    </row>
    <row r="104" spans="3:14" ht="14.25" hidden="1" x14ac:dyDescent="0.3">
      <c r="C104" s="1">
        <v>79</v>
      </c>
      <c r="D104" s="1" t="s">
        <v>97</v>
      </c>
      <c r="I104" s="1" t="s">
        <v>192</v>
      </c>
      <c r="J104" s="2" t="s">
        <v>193</v>
      </c>
      <c r="K104" s="11">
        <v>5.67</v>
      </c>
      <c r="L104" s="11"/>
    </row>
    <row r="105" spans="3:14" ht="14.25" hidden="1" x14ac:dyDescent="0.3">
      <c r="C105" s="1">
        <v>80</v>
      </c>
      <c r="D105" s="1" t="s">
        <v>98</v>
      </c>
      <c r="I105" s="1" t="s">
        <v>192</v>
      </c>
      <c r="J105" s="2" t="s">
        <v>193</v>
      </c>
      <c r="K105" s="11">
        <v>7.11</v>
      </c>
      <c r="L105" s="11"/>
    </row>
    <row r="106" spans="3:14" ht="14.25" hidden="1" x14ac:dyDescent="0.3">
      <c r="C106" s="1">
        <v>81</v>
      </c>
      <c r="D106" s="1" t="s">
        <v>99</v>
      </c>
      <c r="J106" s="2" t="s">
        <v>191</v>
      </c>
      <c r="K106" s="11">
        <f>SUM(K103:K105)</f>
        <v>19.28</v>
      </c>
      <c r="L106" s="11"/>
      <c r="N106" s="13">
        <f>K106</f>
        <v>19.28</v>
      </c>
    </row>
    <row r="107" spans="3:14" ht="14.25" hidden="1" x14ac:dyDescent="0.3">
      <c r="D107" s="1" t="s">
        <v>83</v>
      </c>
    </row>
    <row r="108" spans="3:14" ht="14.25" hidden="1" x14ac:dyDescent="0.3">
      <c r="C108" s="1">
        <v>82</v>
      </c>
      <c r="D108" s="1" t="s">
        <v>96</v>
      </c>
      <c r="I108" s="1" t="s">
        <v>194</v>
      </c>
      <c r="J108" s="2" t="s">
        <v>193</v>
      </c>
      <c r="K108" s="11">
        <f>6*K28/12</f>
        <v>19.5</v>
      </c>
      <c r="L108" s="11"/>
    </row>
    <row r="109" spans="3:14" ht="14.25" hidden="1" x14ac:dyDescent="0.3">
      <c r="C109" s="1">
        <v>83</v>
      </c>
      <c r="D109" s="1" t="s">
        <v>97</v>
      </c>
      <c r="I109" s="1" t="s">
        <v>194</v>
      </c>
      <c r="J109" s="2" t="s">
        <v>193</v>
      </c>
      <c r="K109" s="11">
        <f t="shared" ref="K109:K112" si="0">6*K29/12</f>
        <v>17</v>
      </c>
      <c r="L109" s="11"/>
    </row>
    <row r="110" spans="3:14" ht="14.25" hidden="1" x14ac:dyDescent="0.3">
      <c r="C110" s="1">
        <v>84</v>
      </c>
      <c r="D110" s="1" t="s">
        <v>100</v>
      </c>
      <c r="I110" s="1" t="s">
        <v>194</v>
      </c>
      <c r="J110" s="2" t="s">
        <v>193</v>
      </c>
      <c r="K110" s="11">
        <f t="shared" si="0"/>
        <v>19.75</v>
      </c>
      <c r="L110" s="11"/>
    </row>
    <row r="111" spans="3:14" ht="14.25" hidden="1" x14ac:dyDescent="0.3">
      <c r="C111" s="1">
        <v>85</v>
      </c>
      <c r="D111" s="1" t="s">
        <v>101</v>
      </c>
      <c r="I111" s="1" t="s">
        <v>194</v>
      </c>
      <c r="J111" s="2" t="s">
        <v>193</v>
      </c>
      <c r="K111" s="11">
        <f t="shared" si="0"/>
        <v>5.665</v>
      </c>
      <c r="L111" s="11"/>
    </row>
    <row r="112" spans="3:14" ht="14.25" hidden="1" x14ac:dyDescent="0.3">
      <c r="C112" s="1">
        <v>86</v>
      </c>
      <c r="D112" s="1" t="s">
        <v>98</v>
      </c>
      <c r="I112" s="1" t="s">
        <v>194</v>
      </c>
      <c r="J112" s="2" t="s">
        <v>193</v>
      </c>
      <c r="K112" s="11">
        <f t="shared" si="0"/>
        <v>21.334999999999997</v>
      </c>
      <c r="L112" s="11"/>
    </row>
    <row r="113" spans="3:14" ht="14.25" hidden="1" x14ac:dyDescent="0.3">
      <c r="C113" s="1">
        <v>87</v>
      </c>
      <c r="D113" s="1" t="s">
        <v>102</v>
      </c>
      <c r="I113" s="1" t="s">
        <v>194</v>
      </c>
      <c r="J113" s="2" t="s">
        <v>193</v>
      </c>
      <c r="K113" s="11">
        <f>6*K33/12</f>
        <v>14.835000000000001</v>
      </c>
      <c r="L113" s="11"/>
    </row>
    <row r="114" spans="3:14" ht="14.25" hidden="1" x14ac:dyDescent="0.3">
      <c r="C114" s="1">
        <v>88</v>
      </c>
      <c r="D114" s="1" t="s">
        <v>103</v>
      </c>
      <c r="I114" s="1" t="s">
        <v>196</v>
      </c>
      <c r="J114" s="2" t="s">
        <v>193</v>
      </c>
      <c r="K114" s="11">
        <f>36*K34/12</f>
        <v>34.89</v>
      </c>
      <c r="L114" s="11"/>
    </row>
    <row r="115" spans="3:14" ht="14.25" hidden="1" x14ac:dyDescent="0.3">
      <c r="C115" s="1">
        <v>89</v>
      </c>
      <c r="D115" s="1" t="s">
        <v>104</v>
      </c>
      <c r="J115" s="2" t="s">
        <v>191</v>
      </c>
      <c r="K115" s="11">
        <f>SUM(K108:K114)</f>
        <v>132.97500000000002</v>
      </c>
      <c r="L115" s="11"/>
      <c r="M115" s="13">
        <f>K115</f>
        <v>132.97500000000002</v>
      </c>
    </row>
    <row r="116" spans="3:14" ht="14.25" hidden="1" x14ac:dyDescent="0.3">
      <c r="C116" s="1">
        <v>90</v>
      </c>
      <c r="D116" s="4" t="s">
        <v>105</v>
      </c>
      <c r="I116" s="4"/>
      <c r="J116" s="5" t="s">
        <v>191</v>
      </c>
      <c r="K116" s="14">
        <f>K115+K106</f>
        <v>152.25500000000002</v>
      </c>
      <c r="L116" s="14"/>
      <c r="M116" s="13">
        <f>M115</f>
        <v>132.97500000000002</v>
      </c>
      <c r="N116" s="13">
        <f>N106</f>
        <v>19.28</v>
      </c>
    </row>
    <row r="117" spans="3:14" ht="14.25" hidden="1" x14ac:dyDescent="0.3">
      <c r="C117" s="1">
        <v>91</v>
      </c>
      <c r="D117" s="4" t="s">
        <v>106</v>
      </c>
      <c r="I117" s="4"/>
      <c r="J117" s="5"/>
      <c r="K117" s="14">
        <f>K85+K88+K94+K116+K100</f>
        <v>7967.8819199521076</v>
      </c>
      <c r="L117" s="14"/>
      <c r="M117" s="14">
        <f t="shared" ref="M117" si="1">M85+M88+M94+M116+M100</f>
        <v>6954.6081315682368</v>
      </c>
      <c r="N117" s="14">
        <f>N85+N88+N94+N116+N100-0.01</f>
        <v>1013.2725747781527</v>
      </c>
    </row>
    <row r="118" spans="3:14" ht="14.25" hidden="1" x14ac:dyDescent="0.3">
      <c r="D118" s="4" t="s">
        <v>107</v>
      </c>
      <c r="I118" s="4"/>
      <c r="J118" s="5"/>
      <c r="K118" s="6"/>
      <c r="L118" s="6"/>
    </row>
    <row r="119" spans="3:14" ht="14.25" hidden="1" x14ac:dyDescent="0.3">
      <c r="D119" s="1" t="s">
        <v>108</v>
      </c>
      <c r="I119" s="12" t="s">
        <v>195</v>
      </c>
      <c r="J119" s="2" t="s">
        <v>7</v>
      </c>
      <c r="K119" s="3" t="s">
        <v>8</v>
      </c>
    </row>
    <row r="120" spans="3:14" ht="14.25" hidden="1" x14ac:dyDescent="0.3">
      <c r="C120" s="1">
        <v>92</v>
      </c>
      <c r="D120" s="1" t="s">
        <v>109</v>
      </c>
      <c r="J120" s="2" t="s">
        <v>191</v>
      </c>
      <c r="K120" s="11">
        <f>K117</f>
        <v>7967.8819199521076</v>
      </c>
      <c r="L120" s="11"/>
      <c r="M120" s="11">
        <f t="shared" ref="M120:N120" si="2">M117</f>
        <v>6954.6081315682368</v>
      </c>
      <c r="N120" s="11">
        <f t="shared" si="2"/>
        <v>1013.2725747781527</v>
      </c>
    </row>
    <row r="121" spans="3:14" ht="14.25" hidden="1" x14ac:dyDescent="0.3">
      <c r="C121" s="1">
        <v>93</v>
      </c>
      <c r="D121" s="4" t="s">
        <v>110</v>
      </c>
      <c r="I121" s="16">
        <v>0.05</v>
      </c>
      <c r="J121" s="5" t="s">
        <v>191</v>
      </c>
      <c r="K121" s="14">
        <f>K120*$I$121</f>
        <v>398.3940959976054</v>
      </c>
      <c r="L121" s="14"/>
      <c r="M121" s="14">
        <f t="shared" ref="M121:N121" si="3">M120*$I$121</f>
        <v>347.73040657841187</v>
      </c>
      <c r="N121" s="14">
        <f t="shared" si="3"/>
        <v>50.66362873890764</v>
      </c>
    </row>
    <row r="122" spans="3:14" ht="14.25" hidden="1" x14ac:dyDescent="0.3">
      <c r="D122" s="1" t="s">
        <v>111</v>
      </c>
    </row>
    <row r="123" spans="3:14" ht="14.25" hidden="1" x14ac:dyDescent="0.3">
      <c r="C123" s="1">
        <v>94</v>
      </c>
      <c r="D123" s="1" t="s">
        <v>112</v>
      </c>
      <c r="J123" s="2" t="s">
        <v>191</v>
      </c>
      <c r="K123" s="11">
        <f>K120+K121</f>
        <v>8366.2760159497138</v>
      </c>
      <c r="L123" s="11"/>
      <c r="M123" s="11">
        <f t="shared" ref="M123:N123" si="4">M120+M121</f>
        <v>7302.3385381466487</v>
      </c>
      <c r="N123" s="11">
        <f t="shared" si="4"/>
        <v>1063.9362035170604</v>
      </c>
    </row>
    <row r="124" spans="3:14" ht="14.25" hidden="1" x14ac:dyDescent="0.3">
      <c r="C124" s="1">
        <v>95</v>
      </c>
      <c r="D124" s="4" t="s">
        <v>113</v>
      </c>
      <c r="I124" s="16">
        <v>9.4E-2</v>
      </c>
      <c r="J124" s="5" t="s">
        <v>191</v>
      </c>
      <c r="K124" s="14">
        <f>K123*$I$124</f>
        <v>786.42994549927312</v>
      </c>
      <c r="L124" s="14"/>
      <c r="M124" s="14">
        <f t="shared" ref="M124:N124" si="5">M123*$I$124</f>
        <v>686.41982258578503</v>
      </c>
      <c r="N124" s="14">
        <f t="shared" si="5"/>
        <v>100.01000313060368</v>
      </c>
    </row>
    <row r="125" spans="3:14" ht="14.25" hidden="1" x14ac:dyDescent="0.3">
      <c r="D125" s="1" t="s">
        <v>114</v>
      </c>
    </row>
    <row r="126" spans="3:14" ht="14.25" hidden="1" x14ac:dyDescent="0.3">
      <c r="C126" s="1">
        <v>96</v>
      </c>
      <c r="D126" s="1" t="s">
        <v>115</v>
      </c>
      <c r="K126" s="11">
        <f>K123+K124</f>
        <v>9152.7059614489863</v>
      </c>
      <c r="L126" s="11"/>
      <c r="M126" s="11">
        <f t="shared" ref="M126:N126" si="6">M123+M124</f>
        <v>7988.7583607324341</v>
      </c>
      <c r="N126" s="11">
        <f t="shared" si="6"/>
        <v>1163.9462066476642</v>
      </c>
    </row>
    <row r="127" spans="3:14" ht="14.25" hidden="1" x14ac:dyDescent="0.3">
      <c r="C127" s="1">
        <v>97</v>
      </c>
      <c r="D127" s="1" t="s">
        <v>116</v>
      </c>
      <c r="I127" s="15">
        <v>0.03</v>
      </c>
      <c r="J127" s="2" t="s">
        <v>191</v>
      </c>
      <c r="K127" s="11">
        <f>K126*$I$127</f>
        <v>274.58117884346956</v>
      </c>
      <c r="L127" s="11"/>
      <c r="M127" s="11">
        <f t="shared" ref="M127:N127" si="7">M126*$I$127</f>
        <v>239.66275082197302</v>
      </c>
      <c r="N127" s="11">
        <f t="shared" si="7"/>
        <v>34.918386199429925</v>
      </c>
    </row>
    <row r="128" spans="3:14" ht="14.25" hidden="1" x14ac:dyDescent="0.3">
      <c r="C128" s="1">
        <v>98</v>
      </c>
      <c r="D128" s="1" t="s">
        <v>117</v>
      </c>
      <c r="I128" s="15">
        <v>6.4999999999999997E-3</v>
      </c>
      <c r="J128" s="2" t="s">
        <v>191</v>
      </c>
      <c r="K128" s="11">
        <f>K126*$I$128</f>
        <v>59.49258874941841</v>
      </c>
      <c r="L128" s="11"/>
      <c r="M128" s="11">
        <f t="shared" ref="M128:N128" si="8">M126*$I$128</f>
        <v>51.926929344760822</v>
      </c>
      <c r="N128" s="11">
        <f t="shared" si="8"/>
        <v>7.5656503432098168</v>
      </c>
    </row>
    <row r="129" spans="1:14" ht="14.25" hidden="1" x14ac:dyDescent="0.3">
      <c r="C129" s="1">
        <v>99</v>
      </c>
      <c r="D129" s="1" t="s">
        <v>118</v>
      </c>
      <c r="I129" s="15">
        <v>0.02</v>
      </c>
      <c r="J129" s="2" t="s">
        <v>191</v>
      </c>
      <c r="K129" s="11">
        <f>K126*$I$129</f>
        <v>183.05411922897972</v>
      </c>
      <c r="L129" s="11"/>
      <c r="M129" s="11">
        <f t="shared" ref="M129:N129" si="9">M126*$I$129</f>
        <v>159.77516721464869</v>
      </c>
      <c r="N129" s="11">
        <f t="shared" si="9"/>
        <v>23.278924132953286</v>
      </c>
    </row>
    <row r="130" spans="1:14" ht="14.25" hidden="1" x14ac:dyDescent="0.3">
      <c r="C130" s="1">
        <v>100</v>
      </c>
      <c r="D130" s="4" t="s">
        <v>119</v>
      </c>
      <c r="E130" s="4"/>
      <c r="F130" s="4"/>
      <c r="G130" s="4"/>
      <c r="H130" s="4"/>
      <c r="I130" s="4"/>
      <c r="J130" s="5" t="s">
        <v>191</v>
      </c>
      <c r="K130" s="14">
        <f>K127+K128+K129</f>
        <v>517.12788682186772</v>
      </c>
      <c r="L130" s="14"/>
      <c r="M130" s="14">
        <f t="shared" ref="M130:N130" si="10">M127+M128+M129</f>
        <v>451.36484738138256</v>
      </c>
      <c r="N130" s="14">
        <f t="shared" si="10"/>
        <v>65.762960675593035</v>
      </c>
    </row>
    <row r="131" spans="1:14" ht="14.25" hidden="1" x14ac:dyDescent="0.3">
      <c r="C131" s="1">
        <v>101</v>
      </c>
      <c r="D131" s="4" t="s">
        <v>120</v>
      </c>
      <c r="I131" s="16"/>
      <c r="J131" s="5" t="s">
        <v>191</v>
      </c>
      <c r="K131" s="14">
        <f>K130+K124+K121</f>
        <v>1701.951928318746</v>
      </c>
      <c r="L131" s="14"/>
      <c r="M131" s="14">
        <f t="shared" ref="M131:N131" si="11">M130+M124+M121</f>
        <v>1485.5150765455796</v>
      </c>
      <c r="N131" s="14">
        <f t="shared" si="11"/>
        <v>216.43659254510436</v>
      </c>
    </row>
    <row r="132" spans="1:14" ht="14.25" hidden="1" x14ac:dyDescent="0.3">
      <c r="A132" s="25"/>
      <c r="B132" s="25"/>
      <c r="C132" s="25">
        <v>102</v>
      </c>
      <c r="D132" s="26" t="s">
        <v>121</v>
      </c>
      <c r="E132" s="25"/>
      <c r="F132" s="25"/>
      <c r="G132" s="25"/>
      <c r="H132" s="25"/>
      <c r="I132" s="26"/>
      <c r="J132" s="27" t="s">
        <v>191</v>
      </c>
      <c r="K132" s="28">
        <f>K131+K117</f>
        <v>9669.8338482708532</v>
      </c>
      <c r="L132" s="28"/>
      <c r="M132" s="28">
        <f t="shared" ref="M132:N132" si="12">M131+M117</f>
        <v>8440.1232081138169</v>
      </c>
      <c r="N132" s="28">
        <f t="shared" si="12"/>
        <v>1229.7091673232571</v>
      </c>
    </row>
    <row r="133" spans="1:14" ht="14.25" hidden="1" x14ac:dyDescent="0.3">
      <c r="B133" s="4" t="s">
        <v>122</v>
      </c>
      <c r="I133" s="15"/>
    </row>
    <row r="134" spans="1:14" ht="14.25" hidden="1" x14ac:dyDescent="0.3">
      <c r="D134" s="4" t="s">
        <v>5</v>
      </c>
    </row>
    <row r="135" spans="1:14" ht="14.25" hidden="1" x14ac:dyDescent="0.3">
      <c r="C135" s="1">
        <v>103</v>
      </c>
      <c r="D135" s="1" t="s">
        <v>123</v>
      </c>
      <c r="J135" s="2" t="s">
        <v>197</v>
      </c>
      <c r="K135" s="22">
        <v>30.5</v>
      </c>
      <c r="L135" s="22"/>
    </row>
    <row r="136" spans="1:14" ht="14.25" hidden="1" x14ac:dyDescent="0.3">
      <c r="C136" s="21" t="s">
        <v>200</v>
      </c>
      <c r="D136" s="1" t="s">
        <v>201</v>
      </c>
      <c r="J136" s="2" t="s">
        <v>197</v>
      </c>
      <c r="K136" s="22">
        <v>14</v>
      </c>
      <c r="L136" s="22"/>
    </row>
    <row r="137" spans="1:14" ht="14.25" hidden="1" x14ac:dyDescent="0.3">
      <c r="C137" s="1">
        <v>104</v>
      </c>
      <c r="D137" s="1" t="s">
        <v>124</v>
      </c>
      <c r="J137" s="2" t="s">
        <v>197</v>
      </c>
      <c r="K137" s="22">
        <v>229</v>
      </c>
      <c r="L137" s="22"/>
    </row>
    <row r="138" spans="1:14" ht="14.25" hidden="1" x14ac:dyDescent="0.3">
      <c r="C138" s="21" t="s">
        <v>202</v>
      </c>
      <c r="D138" s="1" t="s">
        <v>203</v>
      </c>
      <c r="J138" s="2" t="s">
        <v>197</v>
      </c>
      <c r="K138" s="22">
        <v>229</v>
      </c>
      <c r="L138" s="22"/>
    </row>
    <row r="139" spans="1:14" ht="14.25" hidden="1" x14ac:dyDescent="0.3">
      <c r="D139" s="1" t="s">
        <v>125</v>
      </c>
      <c r="J139" s="2" t="s">
        <v>226</v>
      </c>
      <c r="K139" s="3">
        <v>1</v>
      </c>
    </row>
    <row r="140" spans="1:14" ht="14.25" hidden="1" x14ac:dyDescent="0.3">
      <c r="D140" s="4" t="s">
        <v>13</v>
      </c>
    </row>
    <row r="141" spans="1:14" ht="14.25" hidden="1" x14ac:dyDescent="0.3">
      <c r="C141" s="1">
        <v>105</v>
      </c>
      <c r="D141" s="1" t="s">
        <v>126</v>
      </c>
      <c r="J141" s="2" t="s">
        <v>198</v>
      </c>
      <c r="K141" s="3">
        <f>K15</f>
        <v>16.62</v>
      </c>
      <c r="M141" s="3">
        <f>K141</f>
        <v>16.62</v>
      </c>
      <c r="N141" s="3">
        <f>M141</f>
        <v>16.62</v>
      </c>
    </row>
    <row r="142" spans="1:14" ht="14.25" hidden="1" x14ac:dyDescent="0.3">
      <c r="C142" s="1">
        <v>106</v>
      </c>
      <c r="D142" s="1" t="s">
        <v>127</v>
      </c>
      <c r="J142" s="2" t="s">
        <v>17</v>
      </c>
      <c r="K142" s="20">
        <f>K17</f>
        <v>0.53739999999999999</v>
      </c>
      <c r="L142" s="20"/>
      <c r="M142" s="20">
        <f>K142</f>
        <v>0.53739999999999999</v>
      </c>
      <c r="N142" s="20">
        <f>M142</f>
        <v>0.53739999999999999</v>
      </c>
    </row>
    <row r="143" spans="1:14" ht="14.25" hidden="1" x14ac:dyDescent="0.3">
      <c r="C143" s="1">
        <v>107</v>
      </c>
      <c r="D143" s="1" t="s">
        <v>128</v>
      </c>
      <c r="J143" s="2" t="s">
        <v>199</v>
      </c>
      <c r="K143" s="3">
        <f>425.86</f>
        <v>425.86</v>
      </c>
      <c r="M143" s="3">
        <f>425.86</f>
        <v>425.86</v>
      </c>
      <c r="N143" s="3"/>
    </row>
    <row r="144" spans="1:14" ht="14.25" hidden="1" x14ac:dyDescent="0.3">
      <c r="C144" s="1">
        <v>108</v>
      </c>
      <c r="D144" s="1" t="s">
        <v>129</v>
      </c>
      <c r="J144" s="2" t="s">
        <v>199</v>
      </c>
      <c r="K144" s="23">
        <v>3445.22</v>
      </c>
      <c r="L144" s="23"/>
      <c r="M144" s="23"/>
      <c r="N144" s="23">
        <v>3445.22</v>
      </c>
    </row>
    <row r="145" spans="3:14" ht="14.25" hidden="1" x14ac:dyDescent="0.3">
      <c r="C145" s="1">
        <v>109</v>
      </c>
      <c r="D145" s="1" t="s">
        <v>130</v>
      </c>
      <c r="J145" s="2" t="s">
        <v>204</v>
      </c>
      <c r="K145" s="11">
        <v>55428.78</v>
      </c>
      <c r="L145" s="11"/>
      <c r="M145" s="11">
        <v>55428.78</v>
      </c>
      <c r="N145" s="11">
        <v>55428.78</v>
      </c>
    </row>
    <row r="146" spans="3:14" ht="14.25" hidden="1" x14ac:dyDescent="0.3">
      <c r="C146" s="1">
        <v>110</v>
      </c>
      <c r="D146" s="1" t="s">
        <v>205</v>
      </c>
      <c r="J146" s="2" t="s">
        <v>204</v>
      </c>
      <c r="K146" s="11">
        <v>21300</v>
      </c>
      <c r="L146" s="11"/>
      <c r="M146" s="11">
        <v>21300</v>
      </c>
      <c r="N146" s="11">
        <v>21300</v>
      </c>
    </row>
    <row r="147" spans="3:14" ht="14.25" hidden="1" x14ac:dyDescent="0.3">
      <c r="C147" s="1">
        <v>111</v>
      </c>
      <c r="D147" s="1" t="s">
        <v>131</v>
      </c>
      <c r="J147" s="2" t="s">
        <v>206</v>
      </c>
      <c r="K147" s="11">
        <v>3.15</v>
      </c>
      <c r="L147" s="11"/>
      <c r="M147" s="11">
        <v>3.15</v>
      </c>
      <c r="N147" s="11">
        <v>3.15</v>
      </c>
    </row>
    <row r="148" spans="3:14" ht="14.25" hidden="1" x14ac:dyDescent="0.3">
      <c r="C148" s="1">
        <v>112</v>
      </c>
      <c r="D148" s="1" t="s">
        <v>132</v>
      </c>
      <c r="J148" s="2" t="s">
        <v>204</v>
      </c>
      <c r="K148" s="11">
        <v>1483.2</v>
      </c>
      <c r="L148" s="11"/>
      <c r="M148" s="11">
        <v>1483.2</v>
      </c>
      <c r="N148" s="11">
        <v>1483.2</v>
      </c>
    </row>
    <row r="149" spans="3:14" ht="14.25" hidden="1" x14ac:dyDescent="0.3">
      <c r="C149" s="1">
        <v>113</v>
      </c>
      <c r="D149" s="1" t="s">
        <v>133</v>
      </c>
      <c r="J149" s="2" t="s">
        <v>204</v>
      </c>
      <c r="K149" s="11">
        <v>597.83000000000004</v>
      </c>
      <c r="L149" s="11"/>
      <c r="M149" s="11">
        <v>597.83000000000004</v>
      </c>
      <c r="N149" s="11">
        <v>597.83000000000004</v>
      </c>
    </row>
    <row r="150" spans="3:14" ht="14.25" hidden="1" x14ac:dyDescent="0.3">
      <c r="C150" s="1">
        <v>114</v>
      </c>
      <c r="D150" s="1" t="s">
        <v>134</v>
      </c>
      <c r="J150" s="2" t="s">
        <v>207</v>
      </c>
      <c r="K150" s="11">
        <v>71.08</v>
      </c>
      <c r="L150" s="11"/>
      <c r="M150" s="11">
        <v>71.08</v>
      </c>
      <c r="N150" s="11">
        <v>71.08</v>
      </c>
    </row>
    <row r="151" spans="3:14" ht="14.25" hidden="1" x14ac:dyDescent="0.3">
      <c r="C151" s="1">
        <v>115</v>
      </c>
      <c r="D151" s="1" t="s">
        <v>135</v>
      </c>
      <c r="J151" s="2" t="s">
        <v>207</v>
      </c>
      <c r="K151" s="11">
        <v>48.81</v>
      </c>
      <c r="L151" s="11"/>
      <c r="M151" s="11">
        <v>48.81</v>
      </c>
      <c r="N151" s="11">
        <v>48.81</v>
      </c>
    </row>
    <row r="152" spans="3:14" ht="14.25" hidden="1" x14ac:dyDescent="0.3">
      <c r="C152" s="1">
        <v>116</v>
      </c>
      <c r="D152" s="1" t="s">
        <v>136</v>
      </c>
      <c r="J152" s="2" t="s">
        <v>17</v>
      </c>
      <c r="K152" s="20">
        <v>0.01</v>
      </c>
      <c r="L152" s="20"/>
      <c r="M152" s="20">
        <v>0.01</v>
      </c>
      <c r="N152" s="20">
        <v>0.01</v>
      </c>
    </row>
    <row r="153" spans="3:14" ht="14.25" hidden="1" x14ac:dyDescent="0.3">
      <c r="C153" s="1">
        <v>117</v>
      </c>
      <c r="D153" s="1" t="s">
        <v>137</v>
      </c>
      <c r="J153" s="2" t="s">
        <v>208</v>
      </c>
      <c r="K153" s="3">
        <v>0.37</v>
      </c>
      <c r="M153" s="3">
        <v>0.37</v>
      </c>
      <c r="N153" s="3">
        <v>0.37</v>
      </c>
    </row>
    <row r="154" spans="3:14" ht="14.25" hidden="1" x14ac:dyDescent="0.3">
      <c r="C154" s="1">
        <v>118</v>
      </c>
      <c r="D154" s="1" t="s">
        <v>138</v>
      </c>
      <c r="J154" s="2" t="s">
        <v>208</v>
      </c>
      <c r="K154" s="3">
        <v>0.05</v>
      </c>
      <c r="M154" s="3">
        <v>0.05</v>
      </c>
      <c r="N154" s="3">
        <v>0.05</v>
      </c>
    </row>
    <row r="155" spans="3:14" ht="14.25" hidden="1" x14ac:dyDescent="0.3">
      <c r="C155" s="1">
        <v>119</v>
      </c>
      <c r="D155" s="1" t="s">
        <v>139</v>
      </c>
      <c r="J155" s="2" t="s">
        <v>209</v>
      </c>
      <c r="K155" s="24">
        <v>85000</v>
      </c>
      <c r="L155" s="24"/>
      <c r="M155" s="24">
        <v>85000</v>
      </c>
      <c r="N155" s="24">
        <v>85000</v>
      </c>
    </row>
    <row r="156" spans="3:14" ht="14.25" hidden="1" x14ac:dyDescent="0.3">
      <c r="C156" s="1">
        <v>120</v>
      </c>
      <c r="D156" s="1" t="s">
        <v>140</v>
      </c>
      <c r="J156" s="2" t="s">
        <v>210</v>
      </c>
      <c r="K156" s="20">
        <v>5.7999999999999996E-3</v>
      </c>
      <c r="L156" s="20"/>
      <c r="M156" s="20">
        <v>5.7999999999999996E-3</v>
      </c>
      <c r="N156" s="20">
        <v>5.7999999999999996E-3</v>
      </c>
    </row>
    <row r="157" spans="3:14" ht="14.25" hidden="1" x14ac:dyDescent="0.3">
      <c r="C157" s="1">
        <v>121</v>
      </c>
      <c r="D157" s="1" t="s">
        <v>141</v>
      </c>
      <c r="J157" s="2" t="s">
        <v>210</v>
      </c>
      <c r="K157" s="20">
        <v>2.3999999999999998E-3</v>
      </c>
      <c r="L157" s="20"/>
      <c r="M157" s="20">
        <v>2.3999999999999998E-3</v>
      </c>
      <c r="N157" s="20">
        <v>2.3999999999999998E-3</v>
      </c>
    </row>
    <row r="158" spans="3:14" ht="14.25" hidden="1" x14ac:dyDescent="0.3">
      <c r="C158" s="1">
        <v>122</v>
      </c>
      <c r="D158" s="1" t="s">
        <v>142</v>
      </c>
      <c r="J158" s="2" t="s">
        <v>210</v>
      </c>
      <c r="K158" s="20">
        <v>2E-3</v>
      </c>
      <c r="L158" s="20"/>
      <c r="M158" s="20">
        <v>2E-3</v>
      </c>
      <c r="N158" s="20">
        <v>2E-3</v>
      </c>
    </row>
    <row r="159" spans="3:14" ht="14.25" hidden="1" x14ac:dyDescent="0.3">
      <c r="D159" s="4" t="s">
        <v>78</v>
      </c>
    </row>
    <row r="160" spans="3:14" ht="14.25" hidden="1" x14ac:dyDescent="0.3">
      <c r="D160" s="1" t="s">
        <v>143</v>
      </c>
      <c r="J160" s="2" t="s">
        <v>7</v>
      </c>
      <c r="K160" s="3" t="s">
        <v>8</v>
      </c>
    </row>
    <row r="161" spans="3:14" ht="14.25" hidden="1" x14ac:dyDescent="0.3">
      <c r="C161" s="1">
        <v>123</v>
      </c>
      <c r="D161" s="4" t="s">
        <v>144</v>
      </c>
      <c r="J161" s="5" t="s">
        <v>18</v>
      </c>
      <c r="K161" s="14">
        <f>(K143+K144)*K147*K153</f>
        <v>4511.7437399999999</v>
      </c>
      <c r="L161" s="14"/>
      <c r="M161" s="14">
        <f>(M143+M144)*M147*M153</f>
        <v>496.33983000000001</v>
      </c>
      <c r="N161" s="14">
        <f t="shared" ref="N161" si="13">(N143+N144)*N147*N153</f>
        <v>4015.4039099999995</v>
      </c>
    </row>
    <row r="162" spans="3:14" ht="14.25" hidden="1" x14ac:dyDescent="0.3">
      <c r="D162" s="1" t="s">
        <v>145</v>
      </c>
    </row>
    <row r="163" spans="3:14" ht="14.25" hidden="1" x14ac:dyDescent="0.3">
      <c r="C163" s="1">
        <v>124</v>
      </c>
      <c r="D163" s="1" t="s">
        <v>146</v>
      </c>
      <c r="J163" s="2" t="s">
        <v>211</v>
      </c>
      <c r="K163" s="11">
        <f>K147*K153*K154</f>
        <v>5.8275E-2</v>
      </c>
      <c r="L163" s="11"/>
      <c r="M163" s="11">
        <f t="shared" ref="M163:N163" si="14">M147*M153*M154</f>
        <v>5.8275E-2</v>
      </c>
      <c r="N163" s="11">
        <f t="shared" si="14"/>
        <v>5.8275E-2</v>
      </c>
    </row>
    <row r="164" spans="3:14" ht="14.25" hidden="1" x14ac:dyDescent="0.3">
      <c r="C164" s="1">
        <v>125</v>
      </c>
      <c r="D164" s="4" t="s">
        <v>147</v>
      </c>
      <c r="J164" s="5" t="s">
        <v>18</v>
      </c>
      <c r="K164" s="14">
        <f>K163*(K143+K144)</f>
        <v>225.587187</v>
      </c>
      <c r="L164" s="14"/>
      <c r="M164" s="14">
        <f t="shared" ref="M164:N164" si="15">M163*(M143+M144)</f>
        <v>24.8169915</v>
      </c>
      <c r="N164" s="14">
        <f t="shared" si="15"/>
        <v>200.7701955</v>
      </c>
    </row>
    <row r="165" spans="3:14" ht="14.25" hidden="1" x14ac:dyDescent="0.3">
      <c r="D165" s="1" t="s">
        <v>148</v>
      </c>
      <c r="I165" s="12" t="s">
        <v>195</v>
      </c>
      <c r="J165" s="2" t="s">
        <v>7</v>
      </c>
      <c r="K165" s="3" t="s">
        <v>8</v>
      </c>
      <c r="N165" s="13"/>
    </row>
    <row r="166" spans="3:14" ht="14.25" hidden="1" x14ac:dyDescent="0.3">
      <c r="C166" s="1">
        <v>126</v>
      </c>
      <c r="D166" s="1" t="s">
        <v>149</v>
      </c>
      <c r="I166" s="1" t="s">
        <v>212</v>
      </c>
      <c r="J166" s="2" t="s">
        <v>213</v>
      </c>
      <c r="K166" s="11">
        <f>6*K148</f>
        <v>8899.2000000000007</v>
      </c>
      <c r="L166" s="11"/>
      <c r="M166" s="11">
        <f t="shared" ref="M166:N166" si="16">6*M148</f>
        <v>8899.2000000000007</v>
      </c>
      <c r="N166" s="11">
        <f t="shared" si="16"/>
        <v>8899.2000000000007</v>
      </c>
    </row>
    <row r="167" spans="3:14" ht="14.25" hidden="1" x14ac:dyDescent="0.3">
      <c r="C167" s="1">
        <v>127</v>
      </c>
      <c r="D167" s="1" t="s">
        <v>150</v>
      </c>
      <c r="I167" s="1" t="s">
        <v>214</v>
      </c>
      <c r="J167" s="2" t="s">
        <v>215</v>
      </c>
      <c r="K167" s="11">
        <f>2*K149*6</f>
        <v>7173.9600000000009</v>
      </c>
      <c r="L167" s="11"/>
      <c r="M167" s="11">
        <f t="shared" ref="M167:N167" si="17">2*M149*6</f>
        <v>7173.9600000000009</v>
      </c>
      <c r="N167" s="11">
        <f t="shared" si="17"/>
        <v>7173.9600000000009</v>
      </c>
    </row>
    <row r="168" spans="3:14" ht="14.25" hidden="1" x14ac:dyDescent="0.3">
      <c r="C168" s="1">
        <v>128</v>
      </c>
      <c r="D168" s="4" t="s">
        <v>151</v>
      </c>
      <c r="I168" s="4"/>
      <c r="J168" s="5" t="s">
        <v>216</v>
      </c>
      <c r="K168" s="31">
        <f>(K166+K167)/K155*(K143+K144)</f>
        <v>732.00574368000002</v>
      </c>
      <c r="L168" s="31"/>
      <c r="M168" s="31">
        <f t="shared" ref="M168:N168" si="18">(M166+M167)/M155*(M143+M144)</f>
        <v>80.52842256000001</v>
      </c>
      <c r="N168" s="31">
        <f t="shared" si="18"/>
        <v>651.47732112000006</v>
      </c>
    </row>
    <row r="169" spans="3:14" ht="14.25" hidden="1" x14ac:dyDescent="0.3">
      <c r="D169" s="1" t="s">
        <v>152</v>
      </c>
    </row>
    <row r="170" spans="3:14" ht="14.25" hidden="1" x14ac:dyDescent="0.3">
      <c r="C170" s="1">
        <v>129</v>
      </c>
      <c r="D170" s="1" t="s">
        <v>153</v>
      </c>
      <c r="J170" s="2" t="s">
        <v>18</v>
      </c>
      <c r="K170" s="11">
        <f>(K145+K146)*K156*1</f>
        <v>445.02692399999995</v>
      </c>
      <c r="L170" s="11"/>
      <c r="M170" s="11"/>
      <c r="N170" s="11"/>
    </row>
    <row r="171" spans="3:14" ht="14.25" hidden="1" x14ac:dyDescent="0.3">
      <c r="C171" s="1">
        <v>130</v>
      </c>
      <c r="D171" s="4" t="s">
        <v>154</v>
      </c>
      <c r="J171" s="5" t="s">
        <v>18</v>
      </c>
      <c r="K171" s="14">
        <f>K170*K142</f>
        <v>239.15746895759997</v>
      </c>
      <c r="L171" s="14"/>
      <c r="M171" s="14">
        <f>K171/259.5*30.5</f>
        <v>28.109066679024274</v>
      </c>
      <c r="N171" s="14">
        <f>K171/259.5*229</f>
        <v>211.04840227857568</v>
      </c>
    </row>
    <row r="172" spans="3:14" ht="14.25" hidden="1" x14ac:dyDescent="0.3">
      <c r="D172" s="1" t="s">
        <v>155</v>
      </c>
    </row>
    <row r="173" spans="3:14" ht="14.25" hidden="1" x14ac:dyDescent="0.3">
      <c r="C173" s="1">
        <v>131</v>
      </c>
      <c r="D173" s="1" t="s">
        <v>156</v>
      </c>
      <c r="J173" s="2" t="s">
        <v>18</v>
      </c>
      <c r="K173" s="11">
        <f>(K145+K146-K166)*K157*1</f>
        <v>162.79099199999999</v>
      </c>
      <c r="L173" s="11"/>
      <c r="M173" s="11"/>
      <c r="N173" s="11"/>
    </row>
    <row r="174" spans="3:14" ht="14.25" hidden="1" x14ac:dyDescent="0.3">
      <c r="C174" s="1">
        <v>132</v>
      </c>
      <c r="D174" s="4" t="s">
        <v>157</v>
      </c>
      <c r="J174" s="5" t="s">
        <v>18</v>
      </c>
      <c r="K174" s="14">
        <f>K173*K142</f>
        <v>87.483879100799996</v>
      </c>
      <c r="L174" s="14"/>
      <c r="M174" s="14">
        <f>K174/259.5*30.5</f>
        <v>10.282305636124855</v>
      </c>
      <c r="N174" s="14">
        <f>K174/259.5*229</f>
        <v>77.201573464675135</v>
      </c>
    </row>
    <row r="175" spans="3:14" ht="14.25" hidden="1" x14ac:dyDescent="0.3">
      <c r="D175" s="1" t="s">
        <v>158</v>
      </c>
    </row>
    <row r="176" spans="3:14" ht="14.25" hidden="1" x14ac:dyDescent="0.3">
      <c r="C176" s="1">
        <v>133</v>
      </c>
      <c r="D176" s="1" t="s">
        <v>159</v>
      </c>
      <c r="J176" s="2" t="s">
        <v>18</v>
      </c>
      <c r="K176" s="11">
        <f>(K145+K146-K166)*K158*1</f>
        <v>135.65916000000001</v>
      </c>
      <c r="L176" s="11"/>
    </row>
    <row r="177" spans="3:14" ht="14.25" hidden="1" x14ac:dyDescent="0.3">
      <c r="C177" s="1">
        <v>134</v>
      </c>
      <c r="D177" s="4" t="s">
        <v>160</v>
      </c>
      <c r="J177" s="5" t="s">
        <v>18</v>
      </c>
      <c r="K177" s="14">
        <f>K176*K142</f>
        <v>72.903232584000008</v>
      </c>
      <c r="L177" s="14"/>
      <c r="M177" s="14">
        <f>K177/259.5*30.5</f>
        <v>8.5685880301040473</v>
      </c>
      <c r="N177" s="14">
        <f>K177/259.5*229</f>
        <v>64.334644553895956</v>
      </c>
    </row>
    <row r="178" spans="3:14" ht="14.25" hidden="1" x14ac:dyDescent="0.3">
      <c r="D178" s="1" t="s">
        <v>161</v>
      </c>
    </row>
    <row r="179" spans="3:14" ht="14.25" hidden="1" x14ac:dyDescent="0.3">
      <c r="C179" s="1">
        <v>135</v>
      </c>
      <c r="D179" s="1" t="s">
        <v>162</v>
      </c>
      <c r="J179" s="2" t="s">
        <v>18</v>
      </c>
      <c r="K179" s="11">
        <f>K150/12*1</f>
        <v>5.9233333333333329</v>
      </c>
      <c r="L179" s="11"/>
    </row>
    <row r="180" spans="3:14" ht="14.25" hidden="1" x14ac:dyDescent="0.3">
      <c r="C180" s="1">
        <v>136</v>
      </c>
      <c r="D180" s="1" t="s">
        <v>163</v>
      </c>
      <c r="J180" s="2" t="s">
        <v>18</v>
      </c>
      <c r="K180" s="11">
        <f t="shared" ref="K180" si="19">K151/12*1</f>
        <v>4.0674999999999999</v>
      </c>
      <c r="L180" s="11"/>
    </row>
    <row r="181" spans="3:14" ht="14.25" hidden="1" x14ac:dyDescent="0.3">
      <c r="C181" s="1">
        <v>137</v>
      </c>
      <c r="D181" s="1" t="s">
        <v>164</v>
      </c>
      <c r="J181" s="2" t="s">
        <v>18</v>
      </c>
      <c r="K181" s="11">
        <f>(K145+K146)*K152/12</f>
        <v>63.940650000000005</v>
      </c>
      <c r="L181" s="11"/>
    </row>
    <row r="182" spans="3:14" ht="14.25" hidden="1" x14ac:dyDescent="0.3">
      <c r="C182" s="1">
        <v>138</v>
      </c>
      <c r="D182" s="1" t="s">
        <v>165</v>
      </c>
      <c r="J182" s="2" t="s">
        <v>18</v>
      </c>
      <c r="K182" s="11">
        <f>K179+K180+K181</f>
        <v>73.931483333333333</v>
      </c>
      <c r="L182" s="11"/>
    </row>
    <row r="183" spans="3:14" ht="14.25" hidden="1" x14ac:dyDescent="0.3">
      <c r="C183" s="1">
        <v>139</v>
      </c>
      <c r="D183" s="4" t="s">
        <v>166</v>
      </c>
      <c r="J183" s="5" t="s">
        <v>18</v>
      </c>
      <c r="K183" s="14">
        <f>K182*K142</f>
        <v>39.730779143333329</v>
      </c>
      <c r="L183" s="14"/>
      <c r="M183" s="14">
        <f>K183/259.5*30.5</f>
        <v>4.6697062191586376</v>
      </c>
      <c r="N183" s="14">
        <f>K183/259.5*229</f>
        <v>35.061072924174688</v>
      </c>
    </row>
    <row r="184" spans="3:14" ht="14.25" hidden="1" x14ac:dyDescent="0.3">
      <c r="C184" s="1">
        <v>140</v>
      </c>
      <c r="D184" s="4" t="s">
        <v>167</v>
      </c>
      <c r="K184" s="14">
        <f>K161+K164+K168+K171+K174+K177+K183</f>
        <v>5908.6120304657325</v>
      </c>
      <c r="L184" s="14"/>
      <c r="M184" s="14">
        <f t="shared" ref="M184:N184" si="20">M161+M164+M168+M171+M174+M177+M183</f>
        <v>653.31491062441182</v>
      </c>
      <c r="N184" s="14">
        <f t="shared" si="20"/>
        <v>5255.2971198413206</v>
      </c>
    </row>
    <row r="185" spans="3:14" ht="14.25" hidden="1" x14ac:dyDescent="0.3">
      <c r="D185" s="4" t="s">
        <v>107</v>
      </c>
    </row>
    <row r="186" spans="3:14" ht="14.25" hidden="1" x14ac:dyDescent="0.3">
      <c r="D186" s="1" t="s">
        <v>108</v>
      </c>
      <c r="I186" s="12" t="s">
        <v>195</v>
      </c>
      <c r="J186" s="2" t="s">
        <v>7</v>
      </c>
      <c r="K186" s="3" t="s">
        <v>8</v>
      </c>
    </row>
    <row r="187" spans="3:14" ht="14.25" hidden="1" x14ac:dyDescent="0.3">
      <c r="C187" s="1">
        <v>141</v>
      </c>
      <c r="D187" s="1" t="s">
        <v>109</v>
      </c>
      <c r="J187" s="2" t="s">
        <v>191</v>
      </c>
      <c r="K187" s="11">
        <f>K184</f>
        <v>5908.6120304657325</v>
      </c>
      <c r="L187" s="11"/>
      <c r="M187" s="11">
        <f t="shared" ref="M187:N187" si="21">M184</f>
        <v>653.31491062441182</v>
      </c>
      <c r="N187" s="11">
        <f t="shared" si="21"/>
        <v>5255.2971198413206</v>
      </c>
    </row>
    <row r="188" spans="3:14" ht="14.25" hidden="1" x14ac:dyDescent="0.3">
      <c r="C188" s="1">
        <v>142</v>
      </c>
      <c r="D188" s="4" t="s">
        <v>110</v>
      </c>
      <c r="I188" s="16">
        <v>0.05</v>
      </c>
      <c r="J188" s="5" t="s">
        <v>191</v>
      </c>
      <c r="K188" s="14">
        <f>K187*I188</f>
        <v>295.43060152328661</v>
      </c>
      <c r="L188" s="14"/>
      <c r="M188" s="14">
        <f t="shared" ref="M188:N188" si="22">M187*$I$121</f>
        <v>32.665745531220594</v>
      </c>
      <c r="N188" s="14">
        <f t="shared" si="22"/>
        <v>262.76485599206603</v>
      </c>
    </row>
    <row r="189" spans="3:14" ht="14.25" hidden="1" x14ac:dyDescent="0.3">
      <c r="D189" s="1" t="s">
        <v>111</v>
      </c>
    </row>
    <row r="190" spans="3:14" ht="14.25" hidden="1" x14ac:dyDescent="0.3">
      <c r="C190" s="1">
        <v>143</v>
      </c>
      <c r="D190" s="1" t="s">
        <v>112</v>
      </c>
      <c r="J190" s="2" t="s">
        <v>191</v>
      </c>
      <c r="K190" s="11">
        <f>K188+K187</f>
        <v>6204.0426319890194</v>
      </c>
      <c r="L190" s="11"/>
      <c r="M190" s="11">
        <f t="shared" ref="M190:N190" si="23">M187+M188</f>
        <v>685.98065615563246</v>
      </c>
      <c r="N190" s="11">
        <f t="shared" si="23"/>
        <v>5518.0619758333869</v>
      </c>
    </row>
    <row r="191" spans="3:14" ht="14.25" hidden="1" x14ac:dyDescent="0.3">
      <c r="C191" s="1">
        <v>144</v>
      </c>
      <c r="D191" s="4" t="s">
        <v>113</v>
      </c>
      <c r="I191" s="16">
        <f>I124</f>
        <v>9.4E-2</v>
      </c>
      <c r="J191" s="5" t="s">
        <v>191</v>
      </c>
      <c r="K191" s="14">
        <f>K190*I191</f>
        <v>583.18000740696777</v>
      </c>
      <c r="L191" s="14"/>
      <c r="M191" s="14">
        <f t="shared" ref="M191:N191" si="24">M190*$I$124</f>
        <v>64.482181678629445</v>
      </c>
      <c r="N191" s="14">
        <f t="shared" si="24"/>
        <v>518.69782572833833</v>
      </c>
    </row>
    <row r="192" spans="3:14" ht="14.25" hidden="1" x14ac:dyDescent="0.3">
      <c r="D192" s="1" t="s">
        <v>114</v>
      </c>
    </row>
    <row r="193" spans="1:14" ht="14.25" hidden="1" x14ac:dyDescent="0.3">
      <c r="C193" s="1">
        <v>145</v>
      </c>
      <c r="D193" s="1" t="s">
        <v>115</v>
      </c>
      <c r="K193" s="11">
        <f>K190+K191</f>
        <v>6787.2226393959872</v>
      </c>
      <c r="L193" s="11"/>
      <c r="M193" s="11">
        <f t="shared" ref="M193:N193" si="25">M190+M191</f>
        <v>750.4628378342619</v>
      </c>
      <c r="N193" s="11">
        <f t="shared" si="25"/>
        <v>6036.759801561725</v>
      </c>
    </row>
    <row r="194" spans="1:14" ht="14.25" hidden="1" x14ac:dyDescent="0.3">
      <c r="C194" s="1">
        <v>146</v>
      </c>
      <c r="D194" s="1" t="s">
        <v>116</v>
      </c>
      <c r="I194" s="15">
        <v>0.03</v>
      </c>
      <c r="J194" s="2" t="s">
        <v>191</v>
      </c>
      <c r="K194" s="11">
        <f>K193*I194</f>
        <v>203.61667918187962</v>
      </c>
      <c r="L194" s="11"/>
      <c r="M194" s="11">
        <f t="shared" ref="M194:N194" si="26">M193*$I$127</f>
        <v>22.513885135027856</v>
      </c>
      <c r="N194" s="11">
        <f t="shared" si="26"/>
        <v>181.10279404685176</v>
      </c>
    </row>
    <row r="195" spans="1:14" ht="14.25" hidden="1" x14ac:dyDescent="0.3">
      <c r="C195" s="1">
        <v>147</v>
      </c>
      <c r="D195" s="1" t="s">
        <v>117</v>
      </c>
      <c r="I195" s="15">
        <v>6.4999999999999997E-3</v>
      </c>
      <c r="J195" s="2" t="s">
        <v>191</v>
      </c>
      <c r="K195" s="11">
        <f>K193*I195</f>
        <v>44.116947156073913</v>
      </c>
      <c r="L195" s="11"/>
      <c r="M195" s="11">
        <f t="shared" ref="M195:N195" si="27">M193*$I$128</f>
        <v>4.8780084459227018</v>
      </c>
      <c r="N195" s="11">
        <f t="shared" si="27"/>
        <v>39.23893871015121</v>
      </c>
    </row>
    <row r="196" spans="1:14" ht="14.25" hidden="1" x14ac:dyDescent="0.3">
      <c r="C196" s="1">
        <v>148</v>
      </c>
      <c r="D196" s="1" t="s">
        <v>118</v>
      </c>
      <c r="I196" s="15">
        <v>0.02</v>
      </c>
      <c r="J196" s="2" t="s">
        <v>191</v>
      </c>
      <c r="K196" s="11">
        <f>K193*I196</f>
        <v>135.74445278791976</v>
      </c>
      <c r="L196" s="11"/>
      <c r="M196" s="11">
        <f t="shared" ref="M196:N196" si="28">M193*$I$129</f>
        <v>15.009256756685238</v>
      </c>
      <c r="N196" s="11">
        <f t="shared" si="28"/>
        <v>120.73519603123451</v>
      </c>
    </row>
    <row r="197" spans="1:14" ht="14.25" hidden="1" x14ac:dyDescent="0.3">
      <c r="C197" s="1">
        <v>149</v>
      </c>
      <c r="D197" s="4" t="s">
        <v>119</v>
      </c>
      <c r="J197" s="5" t="s">
        <v>191</v>
      </c>
      <c r="K197" s="14">
        <f>K194+K195+K196</f>
        <v>383.47807912587325</v>
      </c>
      <c r="L197" s="14"/>
      <c r="M197" s="14">
        <f t="shared" ref="M197:N197" si="29">M194+M195+M196</f>
        <v>42.401150337635798</v>
      </c>
      <c r="N197" s="14">
        <f t="shared" si="29"/>
        <v>341.07692878823747</v>
      </c>
    </row>
    <row r="198" spans="1:14" ht="14.25" hidden="1" x14ac:dyDescent="0.3">
      <c r="C198" s="1">
        <v>150</v>
      </c>
      <c r="D198" s="4" t="s">
        <v>120</v>
      </c>
      <c r="I198" s="16"/>
      <c r="J198" s="5" t="s">
        <v>191</v>
      </c>
      <c r="K198" s="14">
        <f>K197+K191+K188</f>
        <v>1262.0886880561277</v>
      </c>
      <c r="L198" s="14"/>
      <c r="M198" s="14">
        <f t="shared" ref="M198:N198" si="30">M197+M191+M188</f>
        <v>139.54907754748584</v>
      </c>
      <c r="N198" s="14">
        <f t="shared" si="30"/>
        <v>1122.5396105086418</v>
      </c>
    </row>
    <row r="199" spans="1:14" ht="14.25" hidden="1" x14ac:dyDescent="0.3">
      <c r="A199" s="25"/>
      <c r="B199" s="25"/>
      <c r="C199" s="25">
        <v>151</v>
      </c>
      <c r="D199" s="26" t="s">
        <v>168</v>
      </c>
      <c r="E199" s="25"/>
      <c r="F199" s="25"/>
      <c r="G199" s="25"/>
      <c r="H199" s="25"/>
      <c r="I199" s="26"/>
      <c r="J199" s="27" t="s">
        <v>191</v>
      </c>
      <c r="K199" s="28">
        <f>K198+K184</f>
        <v>7170.7007185218599</v>
      </c>
      <c r="L199" s="28"/>
      <c r="M199" s="28">
        <f t="shared" ref="M199:N199" si="31">M198+M184</f>
        <v>792.86398817189763</v>
      </c>
      <c r="N199" s="28">
        <f t="shared" si="31"/>
        <v>6377.8367303499626</v>
      </c>
    </row>
    <row r="200" spans="1:14" ht="14.25" hidden="1" x14ac:dyDescent="0.3">
      <c r="A200" s="25"/>
      <c r="B200" s="25"/>
      <c r="C200" s="25">
        <v>152</v>
      </c>
      <c r="D200" s="26" t="s">
        <v>169</v>
      </c>
      <c r="E200" s="25"/>
      <c r="F200" s="25"/>
      <c r="G200" s="25"/>
      <c r="H200" s="25"/>
      <c r="I200" s="25"/>
      <c r="J200" s="29"/>
      <c r="K200" s="28">
        <f>K199+K132</f>
        <v>16840.534566792714</v>
      </c>
      <c r="L200" s="28"/>
      <c r="M200" s="28">
        <f t="shared" ref="M200:N200" si="32">M199+M132</f>
        <v>9232.9871962857142</v>
      </c>
      <c r="N200" s="28">
        <f t="shared" si="32"/>
        <v>7607.5458976732198</v>
      </c>
    </row>
    <row r="201" spans="1:14" ht="14.25" hidden="1" x14ac:dyDescent="0.3">
      <c r="B201" s="4" t="s">
        <v>170</v>
      </c>
      <c r="C201" s="4"/>
      <c r="D201" s="4"/>
    </row>
    <row r="202" spans="1:14" ht="14.25" hidden="1" x14ac:dyDescent="0.3">
      <c r="B202" s="4" t="s">
        <v>171</v>
      </c>
    </row>
    <row r="203" spans="1:14" ht="14.25" hidden="1" x14ac:dyDescent="0.3">
      <c r="D203" s="4" t="s">
        <v>5</v>
      </c>
      <c r="J203" s="2" t="s">
        <v>7</v>
      </c>
      <c r="K203" s="3" t="s">
        <v>8</v>
      </c>
    </row>
    <row r="204" spans="1:14" ht="14.25" hidden="1" x14ac:dyDescent="0.3">
      <c r="C204" s="1">
        <v>153</v>
      </c>
      <c r="D204" s="1" t="s">
        <v>172</v>
      </c>
      <c r="J204" s="2" t="s">
        <v>217</v>
      </c>
      <c r="K204" s="3">
        <v>80</v>
      </c>
    </row>
    <row r="205" spans="1:14" ht="14.25" hidden="1" x14ac:dyDescent="0.3">
      <c r="D205" s="4" t="s">
        <v>13</v>
      </c>
    </row>
    <row r="206" spans="1:14" ht="14.25" hidden="1" x14ac:dyDescent="0.3">
      <c r="C206" s="1">
        <v>154</v>
      </c>
      <c r="D206" s="1" t="s">
        <v>173</v>
      </c>
      <c r="J206" s="2" t="s">
        <v>218</v>
      </c>
      <c r="K206" s="11">
        <v>78.28</v>
      </c>
      <c r="L206" s="11"/>
    </row>
    <row r="207" spans="1:14" ht="14.25" hidden="1" x14ac:dyDescent="0.3">
      <c r="D207" s="4" t="s">
        <v>78</v>
      </c>
    </row>
    <row r="208" spans="1:14" ht="14.25" hidden="1" x14ac:dyDescent="0.3">
      <c r="D208" s="1" t="s">
        <v>174</v>
      </c>
      <c r="N208" s="34"/>
    </row>
    <row r="209" spans="3:12" ht="14.25" hidden="1" x14ac:dyDescent="0.3">
      <c r="C209" s="1">
        <v>155</v>
      </c>
      <c r="D209" s="1" t="s">
        <v>175</v>
      </c>
      <c r="J209" s="2" t="s">
        <v>216</v>
      </c>
      <c r="K209" s="11">
        <f>K206*K204</f>
        <v>6262.4</v>
      </c>
      <c r="L209" s="11"/>
    </row>
    <row r="210" spans="3:12" ht="14.25" hidden="1" x14ac:dyDescent="0.3">
      <c r="C210" s="1">
        <v>156</v>
      </c>
      <c r="D210" s="4" t="s">
        <v>176</v>
      </c>
      <c r="J210" s="5" t="s">
        <v>216</v>
      </c>
      <c r="K210" s="14">
        <f>K209</f>
        <v>6262.4</v>
      </c>
      <c r="L210" s="14"/>
    </row>
    <row r="211" spans="3:12" ht="14.25" hidden="1" x14ac:dyDescent="0.3">
      <c r="D211" s="4" t="s">
        <v>107</v>
      </c>
    </row>
    <row r="212" spans="3:12" ht="14.25" hidden="1" x14ac:dyDescent="0.3">
      <c r="D212" s="4" t="s">
        <v>108</v>
      </c>
      <c r="I212" s="12" t="s">
        <v>195</v>
      </c>
      <c r="J212" s="2" t="s">
        <v>7</v>
      </c>
      <c r="K212" s="3" t="s">
        <v>8</v>
      </c>
    </row>
    <row r="213" spans="3:12" ht="14.25" hidden="1" x14ac:dyDescent="0.3">
      <c r="C213" s="1">
        <v>157</v>
      </c>
      <c r="D213" s="1" t="s">
        <v>109</v>
      </c>
      <c r="J213" s="2" t="s">
        <v>191</v>
      </c>
      <c r="K213" s="11">
        <f>K210</f>
        <v>6262.4</v>
      </c>
      <c r="L213" s="11"/>
    </row>
    <row r="214" spans="3:12" ht="14.25" hidden="1" x14ac:dyDescent="0.3">
      <c r="C214" s="1">
        <v>158</v>
      </c>
      <c r="D214" s="4" t="s">
        <v>110</v>
      </c>
      <c r="I214" s="16">
        <v>0.05</v>
      </c>
      <c r="J214" s="5" t="s">
        <v>191</v>
      </c>
      <c r="K214" s="14">
        <f>K213*I214</f>
        <v>313.12</v>
      </c>
      <c r="L214" s="14"/>
    </row>
    <row r="215" spans="3:12" ht="14.25" hidden="1" x14ac:dyDescent="0.3">
      <c r="D215" s="1" t="s">
        <v>111</v>
      </c>
    </row>
    <row r="216" spans="3:12" ht="14.25" hidden="1" x14ac:dyDescent="0.3">
      <c r="C216" s="1">
        <v>159</v>
      </c>
      <c r="D216" s="1" t="s">
        <v>112</v>
      </c>
      <c r="J216" s="2" t="s">
        <v>191</v>
      </c>
      <c r="K216" s="11">
        <f>K214+K213</f>
        <v>6575.5199999999995</v>
      </c>
      <c r="L216" s="11"/>
    </row>
    <row r="217" spans="3:12" ht="14.25" hidden="1" x14ac:dyDescent="0.3">
      <c r="C217" s="1">
        <v>160</v>
      </c>
      <c r="D217" s="4" t="s">
        <v>113</v>
      </c>
      <c r="I217" s="16">
        <f>I191</f>
        <v>9.4E-2</v>
      </c>
      <c r="J217" s="5" t="s">
        <v>191</v>
      </c>
      <c r="K217" s="14">
        <f>K216*I217</f>
        <v>618.09888000000001</v>
      </c>
      <c r="L217" s="14"/>
    </row>
    <row r="218" spans="3:12" ht="14.25" hidden="1" x14ac:dyDescent="0.3">
      <c r="D218" s="1" t="s">
        <v>114</v>
      </c>
    </row>
    <row r="219" spans="3:12" ht="14.25" hidden="1" x14ac:dyDescent="0.3">
      <c r="C219" s="1">
        <v>161</v>
      </c>
      <c r="D219" s="1" t="s">
        <v>115</v>
      </c>
      <c r="K219" s="11">
        <f>K216+K217</f>
        <v>7193.61888</v>
      </c>
      <c r="L219" s="11"/>
    </row>
    <row r="220" spans="3:12" ht="14.25" hidden="1" x14ac:dyDescent="0.3">
      <c r="C220" s="1">
        <v>162</v>
      </c>
      <c r="D220" s="1" t="s">
        <v>116</v>
      </c>
      <c r="I220" s="15">
        <v>0.03</v>
      </c>
      <c r="J220" s="2" t="s">
        <v>191</v>
      </c>
      <c r="K220" s="11">
        <f>K219*I220</f>
        <v>215.80856639999999</v>
      </c>
      <c r="L220" s="11"/>
    </row>
    <row r="221" spans="3:12" ht="14.25" hidden="1" x14ac:dyDescent="0.3">
      <c r="C221" s="1">
        <v>163</v>
      </c>
      <c r="D221" s="1" t="s">
        <v>117</v>
      </c>
      <c r="I221" s="15">
        <v>6.4999999999999997E-3</v>
      </c>
      <c r="J221" s="2" t="s">
        <v>191</v>
      </c>
      <c r="K221" s="11">
        <f>K219*I221</f>
        <v>46.758522719999995</v>
      </c>
      <c r="L221" s="11"/>
    </row>
    <row r="222" spans="3:12" ht="14.25" hidden="1" x14ac:dyDescent="0.3">
      <c r="C222" s="1">
        <v>164</v>
      </c>
      <c r="D222" s="1" t="s">
        <v>118</v>
      </c>
      <c r="I222" s="15">
        <v>0.02</v>
      </c>
      <c r="J222" s="2" t="s">
        <v>191</v>
      </c>
      <c r="K222" s="11">
        <f>K219*I222</f>
        <v>143.87237759999999</v>
      </c>
      <c r="L222" s="11"/>
    </row>
    <row r="223" spans="3:12" ht="14.25" hidden="1" x14ac:dyDescent="0.3">
      <c r="C223" s="1">
        <v>165</v>
      </c>
      <c r="D223" s="4" t="s">
        <v>119</v>
      </c>
      <c r="J223" s="5" t="s">
        <v>191</v>
      </c>
      <c r="K223" s="14">
        <f>K220+K221+K222</f>
        <v>406.43946671999998</v>
      </c>
      <c r="L223" s="14"/>
    </row>
    <row r="224" spans="3:12" ht="14.25" hidden="1" x14ac:dyDescent="0.3">
      <c r="C224" s="1">
        <v>166</v>
      </c>
      <c r="D224" s="4" t="s">
        <v>120</v>
      </c>
      <c r="I224" s="16"/>
      <c r="J224" s="5" t="s">
        <v>191</v>
      </c>
      <c r="K224" s="14">
        <f>K223+K217+K214</f>
        <v>1337.6583467199998</v>
      </c>
      <c r="L224" s="14"/>
    </row>
    <row r="225" spans="1:14" ht="14.25" hidden="1" x14ac:dyDescent="0.3">
      <c r="A225" s="25"/>
      <c r="B225" s="25"/>
      <c r="C225" s="25">
        <v>167</v>
      </c>
      <c r="D225" s="26" t="s">
        <v>177</v>
      </c>
      <c r="E225" s="25"/>
      <c r="F225" s="25"/>
      <c r="G225" s="25"/>
      <c r="H225" s="25"/>
      <c r="I225" s="26"/>
      <c r="J225" s="27" t="s">
        <v>191</v>
      </c>
      <c r="K225" s="28">
        <f>K224+K210</f>
        <v>7600.0583467199995</v>
      </c>
      <c r="L225" s="35"/>
    </row>
    <row r="226" spans="1:14" ht="14.25" hidden="1" x14ac:dyDescent="0.3">
      <c r="A226" s="36"/>
      <c r="B226" s="36"/>
      <c r="C226" s="36">
        <v>168</v>
      </c>
      <c r="D226" s="37" t="s">
        <v>178</v>
      </c>
      <c r="E226" s="36"/>
      <c r="F226" s="36"/>
      <c r="G226" s="36"/>
      <c r="H226" s="36"/>
      <c r="I226" s="36"/>
      <c r="J226" s="27" t="s">
        <v>191</v>
      </c>
      <c r="K226" s="40">
        <f>K225</f>
        <v>7600.0583467199995</v>
      </c>
      <c r="L226" s="35"/>
      <c r="N226" s="13"/>
    </row>
    <row r="227" spans="1:14" ht="14.25" hidden="1" x14ac:dyDescent="0.3">
      <c r="A227" s="25"/>
      <c r="B227" s="25"/>
      <c r="C227" s="25">
        <v>169</v>
      </c>
      <c r="D227" s="26" t="s">
        <v>179</v>
      </c>
      <c r="E227" s="25"/>
      <c r="F227" s="25"/>
      <c r="G227" s="25"/>
      <c r="H227" s="25"/>
      <c r="I227" s="25"/>
      <c r="J227" s="27" t="s">
        <v>219</v>
      </c>
      <c r="K227" s="28">
        <f>K225/K204</f>
        <v>95.000729333999999</v>
      </c>
      <c r="L227" s="35"/>
    </row>
    <row r="228" spans="1:14" ht="14.25" hidden="1" x14ac:dyDescent="0.3">
      <c r="B228" s="1" t="s">
        <v>221</v>
      </c>
      <c r="N228" s="13"/>
    </row>
    <row r="229" spans="1:14" ht="14.25" hidden="1" x14ac:dyDescent="0.3">
      <c r="D229" s="1" t="s">
        <v>180</v>
      </c>
      <c r="J229" s="41" t="s">
        <v>220</v>
      </c>
      <c r="K229" s="3" t="s">
        <v>17</v>
      </c>
    </row>
    <row r="230" spans="1:14" ht="14.25" hidden="1" x14ac:dyDescent="0.3">
      <c r="D230" s="1" t="s">
        <v>181</v>
      </c>
      <c r="J230" s="11">
        <f>K132</f>
        <v>9669.8338482708532</v>
      </c>
      <c r="K230" s="43">
        <f t="shared" ref="K230:K234" si="33">J230/$J$236</f>
        <v>0.3956464510697118</v>
      </c>
      <c r="L230" s="43"/>
    </row>
    <row r="231" spans="1:14" ht="14.25" hidden="1" x14ac:dyDescent="0.3">
      <c r="D231" s="1" t="s">
        <v>182</v>
      </c>
      <c r="J231" s="11">
        <f>K199</f>
        <v>7170.7007185218599</v>
      </c>
      <c r="K231" s="43">
        <f t="shared" si="33"/>
        <v>0.29339307536018583</v>
      </c>
      <c r="L231" s="43"/>
    </row>
    <row r="232" spans="1:14" ht="14.25" hidden="1" x14ac:dyDescent="0.3">
      <c r="D232" s="1" t="s">
        <v>183</v>
      </c>
      <c r="J232" s="11">
        <f>J230+J231</f>
        <v>16840.534566792714</v>
      </c>
      <c r="K232" s="43">
        <f t="shared" si="33"/>
        <v>0.68903952642989763</v>
      </c>
      <c r="L232" s="43"/>
    </row>
    <row r="233" spans="1:14" ht="14.25" hidden="1" x14ac:dyDescent="0.3">
      <c r="D233" s="1" t="s">
        <v>184</v>
      </c>
      <c r="J233" s="11"/>
      <c r="K233" s="43"/>
      <c r="L233" s="43"/>
    </row>
    <row r="234" spans="1:14" ht="14.25" hidden="1" x14ac:dyDescent="0.3">
      <c r="D234" s="1" t="s">
        <v>185</v>
      </c>
      <c r="J234" s="11">
        <f>K226</f>
        <v>7600.0583467199995</v>
      </c>
      <c r="K234" s="43">
        <f t="shared" si="33"/>
        <v>0.31096047357010226</v>
      </c>
      <c r="L234" s="43"/>
    </row>
    <row r="235" spans="1:14" ht="14.25" hidden="1" x14ac:dyDescent="0.3">
      <c r="D235" s="1" t="s">
        <v>186</v>
      </c>
      <c r="J235" s="11">
        <f>J234</f>
        <v>7600.0583467199995</v>
      </c>
      <c r="K235" s="43">
        <f>J235/$J$236</f>
        <v>0.31096047357010226</v>
      </c>
      <c r="L235" s="43"/>
    </row>
    <row r="236" spans="1:14" ht="14.25" hidden="1" x14ac:dyDescent="0.3">
      <c r="A236" s="25"/>
      <c r="B236" s="25"/>
      <c r="C236" s="25"/>
      <c r="D236" s="25" t="s">
        <v>187</v>
      </c>
      <c r="E236" s="25"/>
      <c r="F236" s="25"/>
      <c r="G236" s="25"/>
      <c r="H236" s="25"/>
      <c r="I236" s="25"/>
      <c r="J236" s="33">
        <f>J235+J232</f>
        <v>24440.592913512715</v>
      </c>
      <c r="K236" s="44"/>
      <c r="L236" s="43"/>
    </row>
    <row r="237" spans="1:14" ht="14.25" hidden="1" x14ac:dyDescent="0.3">
      <c r="A237" s="25"/>
      <c r="B237" s="25"/>
      <c r="C237" s="25"/>
      <c r="D237" s="25" t="s">
        <v>188</v>
      </c>
      <c r="E237" s="25"/>
      <c r="F237" s="25"/>
      <c r="G237" s="25"/>
      <c r="H237" s="25"/>
      <c r="I237" s="25"/>
      <c r="J237" s="33">
        <f>J236*12</f>
        <v>293287.11496215255</v>
      </c>
      <c r="K237" s="30"/>
      <c r="L237" s="42"/>
      <c r="N237" s="13"/>
    </row>
    <row r="238" spans="1:14" ht="14.25" hidden="1" x14ac:dyDescent="0.3">
      <c r="B238" s="1" t="s">
        <v>222</v>
      </c>
      <c r="K238" s="41" t="s">
        <v>220</v>
      </c>
      <c r="L238" s="41"/>
      <c r="N238" s="13"/>
    </row>
    <row r="239" spans="1:14" ht="14.25" hidden="1" x14ac:dyDescent="0.3">
      <c r="D239" s="1" t="s">
        <v>223</v>
      </c>
      <c r="K239" s="11">
        <f>M200</f>
        <v>9232.9871962857142</v>
      </c>
    </row>
    <row r="240" spans="1:14" ht="14.25" hidden="1" x14ac:dyDescent="0.3">
      <c r="D240" s="1" t="s">
        <v>224</v>
      </c>
      <c r="K240" s="11">
        <f>N200</f>
        <v>7607.5458976732198</v>
      </c>
    </row>
    <row r="241" spans="1:12" ht="14.25" hidden="1" x14ac:dyDescent="0.3">
      <c r="D241" s="1" t="s">
        <v>225</v>
      </c>
      <c r="K241" s="11">
        <f>K226</f>
        <v>7600.0583467199995</v>
      </c>
      <c r="L241" s="11"/>
    </row>
    <row r="242" spans="1:12" ht="14.25" hidden="1" x14ac:dyDescent="0.3">
      <c r="A242" s="36"/>
      <c r="B242" s="36"/>
      <c r="C242" s="36"/>
      <c r="D242" s="36" t="s">
        <v>8</v>
      </c>
      <c r="E242" s="36"/>
      <c r="F242" s="36"/>
      <c r="G242" s="36"/>
      <c r="H242" s="36"/>
      <c r="I242" s="36"/>
      <c r="J242" s="38"/>
      <c r="K242" s="39">
        <f>K239+K240+K241</f>
        <v>24440.591440678931</v>
      </c>
    </row>
    <row r="243" spans="1:12" ht="40.5" hidden="1" customHeight="1" x14ac:dyDescent="0.3">
      <c r="B243" s="56" t="s">
        <v>189</v>
      </c>
      <c r="C243" s="56"/>
      <c r="D243" s="56"/>
      <c r="E243" s="56"/>
      <c r="F243" s="56"/>
      <c r="G243" s="56"/>
      <c r="H243" s="56"/>
      <c r="I243" s="56"/>
      <c r="J243" s="56"/>
      <c r="K243" s="56"/>
      <c r="L243" s="48"/>
    </row>
    <row r="244" spans="1:12" ht="14.25" hidden="1" x14ac:dyDescent="0.3"/>
    <row r="245" spans="1:12" ht="50.25" hidden="1" customHeight="1" x14ac:dyDescent="0.3">
      <c r="B245" s="56" t="s">
        <v>190</v>
      </c>
      <c r="C245" s="56"/>
      <c r="D245" s="56"/>
      <c r="E245" s="56"/>
      <c r="F245" s="56"/>
      <c r="G245" s="56"/>
      <c r="H245" s="56"/>
      <c r="I245" s="56"/>
      <c r="J245" s="56"/>
      <c r="K245" s="56"/>
      <c r="L245" s="48"/>
    </row>
  </sheetData>
  <mergeCells count="8">
    <mergeCell ref="B243:K243"/>
    <mergeCell ref="B245:K245"/>
    <mergeCell ref="B5:K5"/>
    <mergeCell ref="B6:K6"/>
    <mergeCell ref="D17:H17"/>
    <mergeCell ref="D59:H59"/>
    <mergeCell ref="D69:H69"/>
    <mergeCell ref="D73:H73"/>
  </mergeCells>
  <pageMargins left="0.51181102362204722" right="0.51181102362204722" top="0.78740157480314965" bottom="0.78740157480314965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38"/>
  <sheetViews>
    <sheetView tabSelected="1" workbookViewId="0">
      <selection activeCell="D147" sqref="D147"/>
    </sheetView>
  </sheetViews>
  <sheetFormatPr defaultColWidth="9.109375" defaultRowHeight="13.2" x14ac:dyDescent="0.3"/>
  <cols>
    <col min="1" max="1" width="4.109375" style="1" customWidth="1"/>
    <col min="2" max="2" width="9.109375" style="1"/>
    <col min="3" max="3" width="4.88671875" style="1" customWidth="1"/>
    <col min="4" max="6" width="9.109375" style="1"/>
    <col min="7" max="7" width="40.5546875" style="1" customWidth="1"/>
    <col min="8" max="8" width="11.109375" style="1" hidden="1" customWidth="1"/>
    <col min="9" max="9" width="13.5546875" style="1" bestFit="1" customWidth="1"/>
    <col min="10" max="10" width="13.33203125" style="2" customWidth="1"/>
    <col min="11" max="11" width="13.33203125" style="3" customWidth="1"/>
    <col min="12" max="12" width="5" style="3" hidden="1" customWidth="1"/>
    <col min="13" max="14" width="14.5546875" style="1" hidden="1" customWidth="1"/>
    <col min="15" max="15" width="12.88671875" style="1" hidden="1" customWidth="1"/>
    <col min="16" max="16" width="0" style="1" hidden="1" customWidth="1"/>
    <col min="17" max="17" width="11.33203125" style="1" bestFit="1" customWidth="1"/>
    <col min="18" max="16384" width="9.109375" style="1"/>
  </cols>
  <sheetData>
    <row r="2" spans="2:15" ht="24" x14ac:dyDescent="0.45">
      <c r="E2" s="32" t="s">
        <v>0</v>
      </c>
    </row>
    <row r="3" spans="2:15" ht="24" x14ac:dyDescent="0.45">
      <c r="E3" s="32" t="s">
        <v>1</v>
      </c>
    </row>
    <row r="5" spans="2:15" ht="14.25" x14ac:dyDescent="0.3">
      <c r="B5" s="57" t="s">
        <v>229</v>
      </c>
      <c r="C5" s="57"/>
      <c r="D5" s="57"/>
      <c r="E5" s="57"/>
      <c r="F5" s="57"/>
      <c r="G5" s="57"/>
      <c r="H5" s="57"/>
      <c r="I5" s="57"/>
      <c r="J5" s="57"/>
      <c r="K5" s="57"/>
      <c r="L5" s="19"/>
    </row>
    <row r="6" spans="2:15" x14ac:dyDescent="0.3">
      <c r="B6" s="57" t="s">
        <v>2</v>
      </c>
      <c r="C6" s="57"/>
      <c r="D6" s="57"/>
      <c r="E6" s="57"/>
      <c r="F6" s="57"/>
      <c r="G6" s="57"/>
      <c r="H6" s="57"/>
      <c r="I6" s="57"/>
      <c r="J6" s="57"/>
      <c r="K6" s="57"/>
      <c r="L6" s="19"/>
    </row>
    <row r="8" spans="2:15" ht="14.25" x14ac:dyDescent="0.3">
      <c r="B8" s="4" t="s">
        <v>3</v>
      </c>
    </row>
    <row r="9" spans="2:15" ht="14.4" x14ac:dyDescent="0.35">
      <c r="B9" s="4" t="s">
        <v>4</v>
      </c>
    </row>
    <row r="10" spans="2:15" ht="14.25" x14ac:dyDescent="0.3">
      <c r="D10" s="1" t="s">
        <v>5</v>
      </c>
      <c r="J10" s="2" t="s">
        <v>7</v>
      </c>
      <c r="K10" s="3" t="s">
        <v>8</v>
      </c>
      <c r="M10" s="19" t="s">
        <v>227</v>
      </c>
      <c r="N10" s="19" t="s">
        <v>228</v>
      </c>
      <c r="O10" s="19"/>
    </row>
    <row r="11" spans="2:15" x14ac:dyDescent="0.3">
      <c r="D11" s="1" t="s">
        <v>6</v>
      </c>
      <c r="J11" s="2" t="s">
        <v>9</v>
      </c>
      <c r="K11" s="3">
        <v>1</v>
      </c>
    </row>
    <row r="12" spans="2:15" x14ac:dyDescent="0.3">
      <c r="D12" s="1" t="s">
        <v>10</v>
      </c>
      <c r="J12" s="2" t="s">
        <v>9</v>
      </c>
      <c r="K12" s="3">
        <v>1</v>
      </c>
    </row>
    <row r="13" spans="2:15" ht="14.4" x14ac:dyDescent="0.35">
      <c r="D13" s="4" t="s">
        <v>11</v>
      </c>
      <c r="E13" s="4"/>
      <c r="F13" s="4"/>
      <c r="G13" s="4"/>
      <c r="H13" s="4"/>
      <c r="I13" s="4"/>
      <c r="J13" s="5" t="s">
        <v>12</v>
      </c>
      <c r="K13" s="6">
        <f>K11+K12</f>
        <v>2</v>
      </c>
      <c r="L13" s="6"/>
    </row>
    <row r="14" spans="2:15" ht="14.25" x14ac:dyDescent="0.3">
      <c r="D14" s="4" t="s">
        <v>13</v>
      </c>
      <c r="J14" s="5" t="s">
        <v>7</v>
      </c>
      <c r="K14" s="6" t="s">
        <v>8</v>
      </c>
      <c r="L14" s="6"/>
    </row>
    <row r="15" spans="2:15" x14ac:dyDescent="0.3">
      <c r="D15" s="1" t="s">
        <v>20</v>
      </c>
      <c r="J15" s="2" t="s">
        <v>14</v>
      </c>
      <c r="K15" s="45">
        <v>2</v>
      </c>
      <c r="L15" s="45"/>
    </row>
    <row r="16" spans="2:15" x14ac:dyDescent="0.3">
      <c r="D16" s="1" t="s">
        <v>15</v>
      </c>
      <c r="J16" s="2" t="s">
        <v>14</v>
      </c>
      <c r="K16" s="45">
        <v>0</v>
      </c>
      <c r="L16" s="45"/>
    </row>
    <row r="17" spans="3:12" ht="24" customHeight="1" x14ac:dyDescent="0.3">
      <c r="C17" s="7"/>
      <c r="D17" s="58" t="s">
        <v>16</v>
      </c>
      <c r="E17" s="58"/>
      <c r="F17" s="58"/>
      <c r="G17" s="58"/>
      <c r="H17" s="58"/>
      <c r="I17" s="18"/>
      <c r="J17" s="2" t="s">
        <v>17</v>
      </c>
      <c r="K17" s="46">
        <f>6/252</f>
        <v>2.3809523809523808E-2</v>
      </c>
      <c r="L17" s="46"/>
    </row>
    <row r="18" spans="3:12" x14ac:dyDescent="0.3">
      <c r="D18" s="7" t="s">
        <v>19</v>
      </c>
      <c r="E18" s="8"/>
      <c r="F18" s="8"/>
      <c r="G18" s="8"/>
      <c r="H18" s="8"/>
      <c r="I18" s="8"/>
      <c r="J18" s="2" t="s">
        <v>18</v>
      </c>
      <c r="K18" s="9">
        <v>2156.6</v>
      </c>
      <c r="L18" s="9"/>
    </row>
    <row r="19" spans="3:12" ht="14.25" x14ac:dyDescent="0.3">
      <c r="D19" s="1" t="s">
        <v>21</v>
      </c>
      <c r="J19" s="2" t="s">
        <v>17</v>
      </c>
      <c r="K19" s="10">
        <v>0.4</v>
      </c>
      <c r="L19" s="10"/>
    </row>
    <row r="20" spans="3:12" x14ac:dyDescent="0.3">
      <c r="D20" s="1" t="s">
        <v>22</v>
      </c>
      <c r="J20" s="2" t="s">
        <v>18</v>
      </c>
      <c r="K20" s="9">
        <f>K18</f>
        <v>2156.6</v>
      </c>
      <c r="L20" s="9"/>
    </row>
    <row r="21" spans="3:12" x14ac:dyDescent="0.3">
      <c r="D21" s="1" t="s">
        <v>23</v>
      </c>
      <c r="J21" s="2" t="s">
        <v>18</v>
      </c>
      <c r="K21" s="9">
        <v>1469.93</v>
      </c>
      <c r="L21" s="9"/>
    </row>
    <row r="22" spans="3:12" ht="14.25" x14ac:dyDescent="0.3">
      <c r="D22" s="1" t="s">
        <v>24</v>
      </c>
      <c r="J22" s="2" t="s">
        <v>17</v>
      </c>
      <c r="K22" s="10">
        <v>0.4</v>
      </c>
      <c r="L22" s="10"/>
    </row>
    <row r="23" spans="3:12" x14ac:dyDescent="0.3">
      <c r="D23" s="1" t="s">
        <v>25</v>
      </c>
      <c r="J23" s="2" t="s">
        <v>18</v>
      </c>
      <c r="K23" s="11">
        <f>K21</f>
        <v>1469.93</v>
      </c>
      <c r="L23" s="11"/>
    </row>
    <row r="24" spans="3:12" x14ac:dyDescent="0.3">
      <c r="D24" s="1" t="s">
        <v>27</v>
      </c>
      <c r="J24" s="2" t="s">
        <v>18</v>
      </c>
      <c r="K24" s="11">
        <v>15.55</v>
      </c>
      <c r="L24" s="11"/>
    </row>
    <row r="25" spans="3:12" x14ac:dyDescent="0.3">
      <c r="D25" s="1" t="s">
        <v>26</v>
      </c>
      <c r="J25" s="2" t="s">
        <v>17</v>
      </c>
      <c r="K25" s="10">
        <v>0.17499999999999999</v>
      </c>
      <c r="L25" s="10"/>
    </row>
    <row r="26" spans="3:12" x14ac:dyDescent="0.3">
      <c r="D26" s="1" t="s">
        <v>28</v>
      </c>
      <c r="J26" s="2" t="s">
        <v>18</v>
      </c>
      <c r="K26" s="11">
        <v>3.3</v>
      </c>
      <c r="L26" s="11"/>
    </row>
    <row r="27" spans="3:12" x14ac:dyDescent="0.3">
      <c r="D27" s="1" t="s">
        <v>29</v>
      </c>
      <c r="J27" s="2" t="s">
        <v>17</v>
      </c>
      <c r="K27" s="10">
        <v>0.06</v>
      </c>
      <c r="L27" s="10"/>
    </row>
    <row r="28" spans="3:12" x14ac:dyDescent="0.3">
      <c r="D28" s="1" t="s">
        <v>30</v>
      </c>
      <c r="J28" s="2" t="s">
        <v>18</v>
      </c>
      <c r="K28" s="11">
        <v>129</v>
      </c>
      <c r="L28" s="11"/>
    </row>
    <row r="29" spans="3:12" x14ac:dyDescent="0.3">
      <c r="D29" s="1" t="s">
        <v>31</v>
      </c>
      <c r="J29" s="2" t="s">
        <v>18</v>
      </c>
      <c r="K29" s="11">
        <v>39</v>
      </c>
      <c r="L29" s="11"/>
    </row>
    <row r="30" spans="3:12" x14ac:dyDescent="0.3">
      <c r="D30" s="1" t="s">
        <v>32</v>
      </c>
      <c r="J30" s="2" t="s">
        <v>18</v>
      </c>
      <c r="K30" s="11">
        <v>34</v>
      </c>
      <c r="L30" s="11"/>
    </row>
    <row r="31" spans="3:12" x14ac:dyDescent="0.3">
      <c r="D31" s="1" t="s">
        <v>33</v>
      </c>
      <c r="J31" s="2" t="s">
        <v>18</v>
      </c>
      <c r="K31" s="11">
        <v>15</v>
      </c>
      <c r="L31" s="11"/>
    </row>
    <row r="32" spans="3:12" x14ac:dyDescent="0.3">
      <c r="D32" s="1" t="s">
        <v>34</v>
      </c>
      <c r="J32" s="2" t="s">
        <v>18</v>
      </c>
      <c r="K32" s="11">
        <v>89</v>
      </c>
      <c r="L32" s="11"/>
    </row>
    <row r="33" spans="4:12" x14ac:dyDescent="0.3">
      <c r="D33" s="1" t="s">
        <v>35</v>
      </c>
      <c r="J33" s="2" t="s">
        <v>18</v>
      </c>
      <c r="K33" s="11">
        <v>29.67</v>
      </c>
      <c r="L33" s="11"/>
    </row>
    <row r="34" spans="4:12" x14ac:dyDescent="0.3">
      <c r="D34" s="1" t="s">
        <v>36</v>
      </c>
      <c r="J34" s="2" t="s">
        <v>18</v>
      </c>
      <c r="K34" s="11">
        <v>19</v>
      </c>
      <c r="L34" s="11"/>
    </row>
    <row r="35" spans="4:12" x14ac:dyDescent="0.3">
      <c r="D35" s="1" t="s">
        <v>37</v>
      </c>
    </row>
    <row r="36" spans="4:12" x14ac:dyDescent="0.3">
      <c r="D36" s="1" t="s">
        <v>38</v>
      </c>
    </row>
    <row r="37" spans="4:12" x14ac:dyDescent="0.3">
      <c r="D37" s="1" t="s">
        <v>41</v>
      </c>
      <c r="J37" s="2" t="s">
        <v>17</v>
      </c>
      <c r="K37" s="10">
        <v>0.2</v>
      </c>
      <c r="L37" s="10"/>
    </row>
    <row r="38" spans="4:12" x14ac:dyDescent="0.3">
      <c r="D38" s="1" t="s">
        <v>39</v>
      </c>
      <c r="J38" s="2" t="s">
        <v>17</v>
      </c>
      <c r="K38" s="10">
        <v>0.08</v>
      </c>
      <c r="L38" s="10"/>
    </row>
    <row r="39" spans="4:12" x14ac:dyDescent="0.3">
      <c r="D39" s="1" t="s">
        <v>40</v>
      </c>
      <c r="J39" s="2" t="s">
        <v>17</v>
      </c>
      <c r="K39" s="10">
        <v>2.5000000000000001E-2</v>
      </c>
      <c r="L39" s="10"/>
    </row>
    <row r="40" spans="4:12" x14ac:dyDescent="0.3">
      <c r="D40" s="1" t="s">
        <v>42</v>
      </c>
      <c r="J40" s="2" t="s">
        <v>17</v>
      </c>
      <c r="K40" s="10">
        <v>1.4999999999999999E-2</v>
      </c>
      <c r="L40" s="10"/>
    </row>
    <row r="41" spans="4:12" x14ac:dyDescent="0.3">
      <c r="D41" s="1" t="s">
        <v>43</v>
      </c>
      <c r="J41" s="2" t="s">
        <v>17</v>
      </c>
      <c r="K41" s="10">
        <v>0.01</v>
      </c>
      <c r="L41" s="10"/>
    </row>
    <row r="42" spans="4:12" x14ac:dyDescent="0.3">
      <c r="D42" s="1" t="s">
        <v>44</v>
      </c>
      <c r="J42" s="2" t="s">
        <v>17</v>
      </c>
      <c r="K42" s="10">
        <v>2E-3</v>
      </c>
      <c r="L42" s="10"/>
    </row>
    <row r="43" spans="4:12" x14ac:dyDescent="0.3">
      <c r="D43" s="1" t="s">
        <v>45</v>
      </c>
      <c r="J43" s="2" t="s">
        <v>17</v>
      </c>
      <c r="K43" s="10">
        <v>0.06</v>
      </c>
      <c r="L43" s="10"/>
    </row>
    <row r="44" spans="4:12" x14ac:dyDescent="0.3">
      <c r="D44" s="1" t="s">
        <v>46</v>
      </c>
      <c r="J44" s="2" t="s">
        <v>17</v>
      </c>
      <c r="K44" s="10">
        <v>6.0000000000000001E-3</v>
      </c>
      <c r="L44" s="10"/>
    </row>
    <row r="45" spans="4:12" x14ac:dyDescent="0.3">
      <c r="D45" s="1" t="s">
        <v>47</v>
      </c>
      <c r="J45" s="2" t="s">
        <v>17</v>
      </c>
      <c r="K45" s="10">
        <f>SUM(K37:K44)</f>
        <v>0.39800000000000008</v>
      </c>
      <c r="L45" s="10"/>
    </row>
    <row r="46" spans="4:12" x14ac:dyDescent="0.3">
      <c r="D46" s="1" t="s">
        <v>48</v>
      </c>
    </row>
    <row r="47" spans="4:12" x14ac:dyDescent="0.3">
      <c r="D47" s="1" t="s">
        <v>49</v>
      </c>
      <c r="H47" s="2"/>
      <c r="I47" s="2"/>
      <c r="J47" s="2" t="s">
        <v>17</v>
      </c>
      <c r="K47" s="10">
        <v>8.3299999999999999E-2</v>
      </c>
      <c r="L47" s="10"/>
    </row>
    <row r="48" spans="4:12" x14ac:dyDescent="0.3">
      <c r="D48" s="1" t="s">
        <v>50</v>
      </c>
      <c r="H48" s="2"/>
      <c r="I48" s="2"/>
      <c r="J48" s="2" t="s">
        <v>17</v>
      </c>
      <c r="K48" s="10">
        <v>8.3299999999999999E-2</v>
      </c>
      <c r="L48" s="10"/>
    </row>
    <row r="49" spans="3:12" x14ac:dyDescent="0.3">
      <c r="D49" s="1" t="s">
        <v>51</v>
      </c>
      <c r="J49" s="2" t="s">
        <v>17</v>
      </c>
      <c r="K49" s="10">
        <v>1.9199999999999998E-2</v>
      </c>
      <c r="L49" s="10"/>
    </row>
    <row r="50" spans="3:12" x14ac:dyDescent="0.3">
      <c r="D50" s="1" t="s">
        <v>52</v>
      </c>
      <c r="J50" s="2" t="s">
        <v>17</v>
      </c>
      <c r="K50" s="10">
        <v>1.37E-2</v>
      </c>
      <c r="L50" s="10"/>
    </row>
    <row r="51" spans="3:12" x14ac:dyDescent="0.3">
      <c r="D51" s="1" t="s">
        <v>53</v>
      </c>
      <c r="J51" s="2" t="s">
        <v>17</v>
      </c>
      <c r="K51" s="10">
        <v>3.3E-3</v>
      </c>
      <c r="L51" s="10"/>
    </row>
    <row r="52" spans="3:12" x14ac:dyDescent="0.3">
      <c r="D52" s="1" t="s">
        <v>54</v>
      </c>
      <c r="J52" s="2" t="s">
        <v>17</v>
      </c>
      <c r="K52" s="10">
        <v>2.7000000000000001E-3</v>
      </c>
      <c r="L52" s="10"/>
    </row>
    <row r="53" spans="3:12" x14ac:dyDescent="0.3">
      <c r="D53" s="1" t="s">
        <v>55</v>
      </c>
      <c r="J53" s="2" t="s">
        <v>17</v>
      </c>
      <c r="K53" s="10">
        <v>5.9999999999999995E-4</v>
      </c>
      <c r="L53" s="10"/>
    </row>
    <row r="54" spans="3:12" x14ac:dyDescent="0.3">
      <c r="D54" s="1" t="s">
        <v>56</v>
      </c>
      <c r="J54" s="2" t="s">
        <v>17</v>
      </c>
      <c r="K54" s="10">
        <v>2.0000000000000001E-4</v>
      </c>
      <c r="L54" s="10"/>
    </row>
    <row r="55" spans="3:12" x14ac:dyDescent="0.3">
      <c r="D55" s="1" t="s">
        <v>57</v>
      </c>
      <c r="J55" s="2" t="s">
        <v>17</v>
      </c>
      <c r="K55" s="10">
        <f>SUM(K47:K54)</f>
        <v>0.20629999999999998</v>
      </c>
      <c r="L55" s="10"/>
    </row>
    <row r="56" spans="3:12" x14ac:dyDescent="0.3">
      <c r="D56" s="1" t="s">
        <v>58</v>
      </c>
    </row>
    <row r="57" spans="3:12" x14ac:dyDescent="0.3">
      <c r="D57" s="1" t="s">
        <v>59</v>
      </c>
      <c r="J57" s="2" t="s">
        <v>17</v>
      </c>
      <c r="K57" s="10">
        <v>4.1999999999999997E-3</v>
      </c>
      <c r="L57" s="10"/>
    </row>
    <row r="58" spans="3:12" x14ac:dyDescent="0.3">
      <c r="D58" s="1" t="s">
        <v>60</v>
      </c>
      <c r="J58" s="2" t="s">
        <v>17</v>
      </c>
      <c r="K58" s="10">
        <v>1.6999999999999999E-3</v>
      </c>
      <c r="L58" s="10"/>
    </row>
    <row r="59" spans="3:12" ht="27" customHeight="1" x14ac:dyDescent="0.3">
      <c r="C59" s="7"/>
      <c r="D59" s="58" t="s">
        <v>61</v>
      </c>
      <c r="E59" s="58"/>
      <c r="F59" s="58"/>
      <c r="G59" s="58"/>
      <c r="H59" s="58"/>
      <c r="I59" s="18"/>
      <c r="J59" s="2" t="s">
        <v>17</v>
      </c>
      <c r="K59" s="10">
        <v>3.2000000000000001E-2</v>
      </c>
      <c r="L59" s="10"/>
    </row>
    <row r="60" spans="3:12" x14ac:dyDescent="0.3">
      <c r="D60" s="1" t="s">
        <v>62</v>
      </c>
      <c r="J60" s="2" t="s">
        <v>17</v>
      </c>
      <c r="K60" s="10">
        <v>8.0000000000000002E-3</v>
      </c>
      <c r="L60" s="10"/>
    </row>
    <row r="61" spans="3:12" x14ac:dyDescent="0.3">
      <c r="D61" s="1" t="s">
        <v>63</v>
      </c>
      <c r="J61" s="2" t="s">
        <v>17</v>
      </c>
      <c r="K61" s="10">
        <v>2.7799999999999998E-2</v>
      </c>
      <c r="L61" s="10"/>
    </row>
    <row r="62" spans="3:12" x14ac:dyDescent="0.3">
      <c r="D62" s="1" t="s">
        <v>64</v>
      </c>
      <c r="J62" s="2" t="s">
        <v>17</v>
      </c>
      <c r="K62" s="10">
        <v>2.0000000000000001E-4</v>
      </c>
      <c r="L62" s="10"/>
    </row>
    <row r="63" spans="3:12" x14ac:dyDescent="0.3">
      <c r="D63" s="1" t="s">
        <v>65</v>
      </c>
      <c r="J63" s="2" t="s">
        <v>17</v>
      </c>
      <c r="K63" s="10">
        <v>7.3899999999999993E-2</v>
      </c>
      <c r="L63" s="10"/>
    </row>
    <row r="64" spans="3:12" x14ac:dyDescent="0.3">
      <c r="D64" s="1" t="s">
        <v>66</v>
      </c>
      <c r="K64" s="10"/>
      <c r="L64" s="10"/>
    </row>
    <row r="65" spans="3:15" x14ac:dyDescent="0.3">
      <c r="D65" s="1" t="s">
        <v>67</v>
      </c>
      <c r="J65" s="2" t="s">
        <v>17</v>
      </c>
      <c r="K65" s="10">
        <v>8.2100000000000006E-2</v>
      </c>
      <c r="L65" s="10"/>
    </row>
    <row r="66" spans="3:15" x14ac:dyDescent="0.3">
      <c r="D66" s="1" t="s">
        <v>68</v>
      </c>
      <c r="J66" s="2" t="s">
        <v>17</v>
      </c>
      <c r="K66" s="10">
        <v>8.2100000000000006E-2</v>
      </c>
      <c r="L66" s="10"/>
    </row>
    <row r="67" spans="3:15" x14ac:dyDescent="0.3">
      <c r="D67" s="1" t="s">
        <v>69</v>
      </c>
    </row>
    <row r="68" spans="3:15" x14ac:dyDescent="0.3">
      <c r="D68" s="1" t="s">
        <v>70</v>
      </c>
      <c r="J68" s="2" t="s">
        <v>17</v>
      </c>
      <c r="K68" s="10">
        <v>2.9999999999999997E-4</v>
      </c>
      <c r="L68" s="10"/>
    </row>
    <row r="69" spans="3:15" ht="26.25" customHeight="1" x14ac:dyDescent="0.3">
      <c r="C69" s="7"/>
      <c r="D69" s="58" t="s">
        <v>71</v>
      </c>
      <c r="E69" s="58"/>
      <c r="F69" s="58"/>
      <c r="G69" s="58"/>
      <c r="H69" s="58"/>
      <c r="I69" s="18"/>
      <c r="J69" s="2" t="s">
        <v>17</v>
      </c>
      <c r="K69" s="10">
        <v>2.9999999999999997E-4</v>
      </c>
      <c r="L69" s="10"/>
    </row>
    <row r="70" spans="3:15" x14ac:dyDescent="0.3">
      <c r="D70" s="1" t="s">
        <v>72</v>
      </c>
      <c r="J70" s="2" t="s">
        <v>17</v>
      </c>
      <c r="K70" s="10">
        <v>2.2000000000000001E-3</v>
      </c>
      <c r="L70" s="10"/>
    </row>
    <row r="71" spans="3:15" x14ac:dyDescent="0.3">
      <c r="D71" s="1" t="s">
        <v>73</v>
      </c>
      <c r="J71" s="2" t="s">
        <v>17</v>
      </c>
      <c r="K71" s="10">
        <v>2.8E-3</v>
      </c>
      <c r="L71" s="10"/>
    </row>
    <row r="72" spans="3:15" x14ac:dyDescent="0.3">
      <c r="D72" s="1" t="s">
        <v>74</v>
      </c>
      <c r="K72" s="10"/>
      <c r="L72" s="10"/>
    </row>
    <row r="73" spans="3:15" ht="27.75" customHeight="1" x14ac:dyDescent="0.3">
      <c r="C73" s="7"/>
      <c r="D73" s="58" t="s">
        <v>75</v>
      </c>
      <c r="E73" s="58"/>
      <c r="F73" s="58"/>
      <c r="G73" s="58"/>
      <c r="H73" s="58"/>
      <c r="I73" s="18"/>
      <c r="J73" s="2" t="s">
        <v>17</v>
      </c>
      <c r="K73" s="10">
        <v>2.7000000000000001E-3</v>
      </c>
      <c r="L73" s="10"/>
    </row>
    <row r="74" spans="3:15" x14ac:dyDescent="0.3">
      <c r="D74" s="1" t="s">
        <v>76</v>
      </c>
      <c r="J74" s="2" t="s">
        <v>17</v>
      </c>
      <c r="K74" s="10">
        <v>2.7000000000000001E-3</v>
      </c>
      <c r="L74" s="10"/>
    </row>
    <row r="75" spans="3:15" x14ac:dyDescent="0.3">
      <c r="D75" s="1" t="s">
        <v>77</v>
      </c>
      <c r="J75" s="2" t="s">
        <v>17</v>
      </c>
      <c r="K75" s="10">
        <v>0.76580000000000004</v>
      </c>
      <c r="L75" s="10"/>
    </row>
    <row r="76" spans="3:15" ht="14.4" x14ac:dyDescent="0.35">
      <c r="D76" s="4" t="s">
        <v>78</v>
      </c>
    </row>
    <row r="77" spans="3:15" x14ac:dyDescent="0.3">
      <c r="D77" s="1" t="s">
        <v>79</v>
      </c>
      <c r="J77" s="2" t="s">
        <v>7</v>
      </c>
      <c r="K77" s="3" t="s">
        <v>8</v>
      </c>
    </row>
    <row r="78" spans="3:15" x14ac:dyDescent="0.3">
      <c r="D78" s="1" t="s">
        <v>82</v>
      </c>
      <c r="J78" s="2" t="s">
        <v>191</v>
      </c>
      <c r="K78" s="11">
        <f>K18</f>
        <v>2156.6</v>
      </c>
      <c r="L78" s="11"/>
      <c r="M78" s="13">
        <f>K78/8.61*5.35</f>
        <v>1340.047619047619</v>
      </c>
      <c r="N78" s="13">
        <f>K78/8.61*3.26</f>
        <v>816.55238095238087</v>
      </c>
      <c r="O78" s="13">
        <v>5.32</v>
      </c>
    </row>
    <row r="79" spans="3:15" x14ac:dyDescent="0.3">
      <c r="D79" s="1" t="s">
        <v>80</v>
      </c>
      <c r="J79" s="2" t="s">
        <v>191</v>
      </c>
      <c r="K79" s="11">
        <v>374.8</v>
      </c>
      <c r="L79" s="11"/>
      <c r="M79" s="13">
        <f>K79/8.61*5.35</f>
        <v>232.88966318234614</v>
      </c>
      <c r="N79" s="13">
        <f>K79/8.61*3.26</f>
        <v>141.9103368176539</v>
      </c>
      <c r="O79" s="13">
        <v>3.26</v>
      </c>
    </row>
    <row r="80" spans="3:15" x14ac:dyDescent="0.3">
      <c r="D80" s="1" t="s">
        <v>81</v>
      </c>
      <c r="J80" s="2" t="s">
        <v>191</v>
      </c>
      <c r="K80" s="11">
        <f>(K78+K79)/220*2*7.33*K16</f>
        <v>0</v>
      </c>
      <c r="L80" s="11"/>
      <c r="M80" s="13">
        <f>K80/O80*O78</f>
        <v>0</v>
      </c>
      <c r="N80" s="13">
        <f>K80/O80*O79</f>
        <v>0</v>
      </c>
      <c r="O80" s="13">
        <f>O78+O79</f>
        <v>8.58</v>
      </c>
    </row>
    <row r="81" spans="4:15" x14ac:dyDescent="0.3">
      <c r="D81" s="1" t="s">
        <v>83</v>
      </c>
      <c r="J81" s="2" t="s">
        <v>191</v>
      </c>
      <c r="K81" s="11">
        <f>K21</f>
        <v>1469.93</v>
      </c>
      <c r="L81" s="11"/>
      <c r="M81" s="13">
        <v>3518.91</v>
      </c>
      <c r="N81" s="13"/>
      <c r="O81" s="13"/>
    </row>
    <row r="82" spans="4:15" x14ac:dyDescent="0.3">
      <c r="D82" s="1" t="s">
        <v>80</v>
      </c>
      <c r="J82" s="2" t="s">
        <v>191</v>
      </c>
      <c r="K82" s="11">
        <f>K81*40/100</f>
        <v>587.97200000000009</v>
      </c>
      <c r="L82" s="11"/>
      <c r="M82" s="13">
        <v>1407.56</v>
      </c>
      <c r="N82" s="13"/>
      <c r="O82" s="13"/>
    </row>
    <row r="83" spans="4:15" x14ac:dyDescent="0.3">
      <c r="D83" s="1" t="s">
        <v>81</v>
      </c>
      <c r="J83" s="2" t="s">
        <v>191</v>
      </c>
      <c r="K83" s="11">
        <f>(K81+K82)/220*2*7.33*K16</f>
        <v>0</v>
      </c>
      <c r="L83" s="11"/>
      <c r="M83" s="13">
        <v>124.75</v>
      </c>
      <c r="N83" s="13"/>
      <c r="O83" s="13"/>
    </row>
    <row r="84" spans="4:15" x14ac:dyDescent="0.3">
      <c r="D84" s="1" t="s">
        <v>84</v>
      </c>
      <c r="J84" s="2" t="s">
        <v>191</v>
      </c>
      <c r="K84" s="11">
        <f>SUM(K78:K83)</f>
        <v>4589.3019999999997</v>
      </c>
      <c r="L84" s="11"/>
      <c r="M84" s="13">
        <f>M81+M82+M83+M80+M79+M78</f>
        <v>6624.1572822299649</v>
      </c>
      <c r="N84" s="13">
        <f>N80+N79+N78</f>
        <v>958.46271777003471</v>
      </c>
      <c r="O84" s="13"/>
    </row>
    <row r="85" spans="4:15" ht="14.4" x14ac:dyDescent="0.35">
      <c r="D85" s="4" t="s">
        <v>85</v>
      </c>
      <c r="J85" s="5" t="s">
        <v>191</v>
      </c>
      <c r="K85" s="14">
        <f>K84*K17</f>
        <v>109.26909523809522</v>
      </c>
      <c r="L85" s="14"/>
      <c r="M85" s="47">
        <f>M84*K17</f>
        <v>157.71803052928487</v>
      </c>
      <c r="N85" s="47">
        <f>N84*K17</f>
        <v>22.820540899286538</v>
      </c>
      <c r="O85" s="47"/>
    </row>
    <row r="86" spans="4:15" x14ac:dyDescent="0.3">
      <c r="D86" s="1" t="s">
        <v>86</v>
      </c>
    </row>
    <row r="87" spans="4:15" x14ac:dyDescent="0.3">
      <c r="D87" s="1" t="s">
        <v>87</v>
      </c>
      <c r="J87" s="2" t="s">
        <v>191</v>
      </c>
      <c r="K87" s="11">
        <f>K85*K75</f>
        <v>83.67827313333332</v>
      </c>
      <c r="L87" s="11"/>
      <c r="M87" s="13">
        <f>M85*$K$75</f>
        <v>120.78046777932636</v>
      </c>
      <c r="N87" s="13">
        <f>N85*$K$75+0.01</f>
        <v>17.485970220673632</v>
      </c>
      <c r="O87" s="13"/>
    </row>
    <row r="88" spans="4:15" ht="14.4" x14ac:dyDescent="0.35">
      <c r="D88" s="4" t="s">
        <v>88</v>
      </c>
      <c r="J88" s="5" t="s">
        <v>191</v>
      </c>
      <c r="K88" s="14">
        <f>K87</f>
        <v>83.67827313333332</v>
      </c>
      <c r="L88" s="14"/>
      <c r="M88" s="47">
        <f>M87</f>
        <v>120.78046777932636</v>
      </c>
      <c r="N88" s="47">
        <f>N87</f>
        <v>17.485970220673632</v>
      </c>
    </row>
    <row r="89" spans="4:15" x14ac:dyDescent="0.3">
      <c r="D89" s="1" t="s">
        <v>89</v>
      </c>
    </row>
    <row r="90" spans="4:15" x14ac:dyDescent="0.3">
      <c r="D90" s="1" t="s">
        <v>82</v>
      </c>
      <c r="J90" s="2" t="s">
        <v>191</v>
      </c>
      <c r="K90" s="11">
        <f>K24*K15*K11</f>
        <v>31.1</v>
      </c>
      <c r="L90" s="11"/>
      <c r="N90" s="13">
        <f>K90+K91</f>
        <v>25.657500000000002</v>
      </c>
    </row>
    <row r="91" spans="4:15" x14ac:dyDescent="0.3">
      <c r="D91" s="1" t="s">
        <v>90</v>
      </c>
      <c r="J91" s="2" t="s">
        <v>191</v>
      </c>
      <c r="K91" s="11">
        <f>K90*K25*-1</f>
        <v>-5.4424999999999999</v>
      </c>
      <c r="L91" s="11"/>
    </row>
    <row r="92" spans="4:15" x14ac:dyDescent="0.3">
      <c r="D92" s="1" t="s">
        <v>83</v>
      </c>
      <c r="J92" s="2" t="s">
        <v>191</v>
      </c>
      <c r="K92" s="11">
        <f>K24*K15*K12</f>
        <v>31.1</v>
      </c>
      <c r="L92" s="11"/>
      <c r="M92" s="13">
        <f>K92+K93</f>
        <v>25.657500000000002</v>
      </c>
    </row>
    <row r="93" spans="4:15" x14ac:dyDescent="0.3">
      <c r="D93" s="1" t="s">
        <v>90</v>
      </c>
      <c r="J93" s="2" t="s">
        <v>191</v>
      </c>
      <c r="K93" s="11">
        <f>K92*K25*-1</f>
        <v>-5.4424999999999999</v>
      </c>
      <c r="L93" s="11"/>
    </row>
    <row r="94" spans="4:15" ht="14.4" x14ac:dyDescent="0.35">
      <c r="D94" s="4" t="s">
        <v>91</v>
      </c>
      <c r="J94" s="5" t="s">
        <v>191</v>
      </c>
      <c r="K94" s="14">
        <f>K90+K91+K92+K93</f>
        <v>51.315000000000005</v>
      </c>
      <c r="L94" s="14"/>
      <c r="M94" s="13">
        <f>M92</f>
        <v>25.657500000000002</v>
      </c>
      <c r="N94" s="13">
        <f>N90</f>
        <v>25.657500000000002</v>
      </c>
    </row>
    <row r="95" spans="4:15" x14ac:dyDescent="0.3">
      <c r="D95" s="1" t="s">
        <v>92</v>
      </c>
    </row>
    <row r="96" spans="4:15" x14ac:dyDescent="0.3">
      <c r="D96" s="1" t="s">
        <v>82</v>
      </c>
      <c r="J96" s="2" t="s">
        <v>191</v>
      </c>
      <c r="K96" s="11">
        <f>K26*2*K15*K11</f>
        <v>13.2</v>
      </c>
      <c r="L96" s="11"/>
      <c r="N96" s="13">
        <f>K96+K97</f>
        <v>10.119142857142856</v>
      </c>
    </row>
    <row r="97" spans="4:14" x14ac:dyDescent="0.3">
      <c r="D97" s="1" t="s">
        <v>93</v>
      </c>
      <c r="J97" s="2" t="s">
        <v>191</v>
      </c>
      <c r="K97" s="11">
        <f>K18*K17*-K27*K11</f>
        <v>-3.0808571428571425</v>
      </c>
      <c r="L97" s="11"/>
    </row>
    <row r="98" spans="4:14" x14ac:dyDescent="0.3">
      <c r="D98" s="1" t="s">
        <v>83</v>
      </c>
      <c r="J98" s="2" t="s">
        <v>191</v>
      </c>
      <c r="K98" s="11">
        <f>K26*2*K15*K12</f>
        <v>13.2</v>
      </c>
      <c r="L98" s="11"/>
      <c r="M98" s="13">
        <f>K98+K99</f>
        <v>11.100099999999999</v>
      </c>
    </row>
    <row r="99" spans="4:14" x14ac:dyDescent="0.3">
      <c r="D99" s="1" t="s">
        <v>93</v>
      </c>
      <c r="J99" s="2" t="s">
        <v>191</v>
      </c>
      <c r="K99" s="11">
        <f>K21*K17*-K27*K12</f>
        <v>-2.0998999999999999</v>
      </c>
      <c r="L99" s="11"/>
    </row>
    <row r="100" spans="4:14" ht="14.4" x14ac:dyDescent="0.35">
      <c r="D100" s="4" t="s">
        <v>94</v>
      </c>
      <c r="J100" s="5" t="s">
        <v>191</v>
      </c>
      <c r="K100" s="14">
        <f>SUM(K96:K99)</f>
        <v>21.219242857142859</v>
      </c>
      <c r="L100" s="14"/>
      <c r="M100" s="13">
        <f>M98</f>
        <v>11.100099999999999</v>
      </c>
      <c r="N100" s="13">
        <f>N96</f>
        <v>10.119142857142856</v>
      </c>
    </row>
    <row r="101" spans="4:14" x14ac:dyDescent="0.3">
      <c r="D101" s="1" t="s">
        <v>95</v>
      </c>
      <c r="I101" s="12" t="s">
        <v>195</v>
      </c>
      <c r="J101" s="2" t="s">
        <v>7</v>
      </c>
      <c r="K101" s="3" t="s">
        <v>8</v>
      </c>
    </row>
    <row r="102" spans="4:14" x14ac:dyDescent="0.3">
      <c r="D102" s="1" t="s">
        <v>82</v>
      </c>
    </row>
    <row r="103" spans="4:14" x14ac:dyDescent="0.3">
      <c r="D103" s="1" t="s">
        <v>96</v>
      </c>
      <c r="I103" s="1" t="s">
        <v>192</v>
      </c>
      <c r="J103" s="2" t="s">
        <v>193</v>
      </c>
      <c r="K103" s="11">
        <v>6.5</v>
      </c>
      <c r="L103" s="11"/>
    </row>
    <row r="104" spans="4:14" x14ac:dyDescent="0.3">
      <c r="D104" s="1" t="s">
        <v>97</v>
      </c>
      <c r="I104" s="1" t="s">
        <v>192</v>
      </c>
      <c r="J104" s="2" t="s">
        <v>193</v>
      </c>
      <c r="K104" s="11">
        <v>5.67</v>
      </c>
      <c r="L104" s="11"/>
    </row>
    <row r="105" spans="4:14" x14ac:dyDescent="0.3">
      <c r="D105" s="1" t="s">
        <v>98</v>
      </c>
      <c r="I105" s="1" t="s">
        <v>192</v>
      </c>
      <c r="J105" s="2" t="s">
        <v>193</v>
      </c>
      <c r="K105" s="11">
        <v>7.11</v>
      </c>
      <c r="L105" s="11"/>
    </row>
    <row r="106" spans="4:14" x14ac:dyDescent="0.3">
      <c r="D106" s="1" t="s">
        <v>99</v>
      </c>
      <c r="J106" s="2" t="s">
        <v>191</v>
      </c>
      <c r="K106" s="11">
        <f>SUM(K103:K105)</f>
        <v>19.28</v>
      </c>
      <c r="L106" s="11"/>
      <c r="N106" s="13">
        <f>K106</f>
        <v>19.28</v>
      </c>
    </row>
    <row r="107" spans="4:14" x14ac:dyDescent="0.3">
      <c r="D107" s="1" t="s">
        <v>83</v>
      </c>
    </row>
    <row r="108" spans="4:14" x14ac:dyDescent="0.3">
      <c r="D108" s="1" t="s">
        <v>96</v>
      </c>
      <c r="I108" s="1" t="s">
        <v>230</v>
      </c>
      <c r="J108" s="2" t="s">
        <v>193</v>
      </c>
      <c r="K108" s="11">
        <f t="shared" ref="K108:K113" si="0">2*K28/12</f>
        <v>21.5</v>
      </c>
      <c r="L108" s="11"/>
    </row>
    <row r="109" spans="4:14" x14ac:dyDescent="0.3">
      <c r="D109" s="1" t="s">
        <v>97</v>
      </c>
      <c r="I109" s="1" t="s">
        <v>230</v>
      </c>
      <c r="J109" s="2" t="s">
        <v>193</v>
      </c>
      <c r="K109" s="11">
        <f t="shared" si="0"/>
        <v>6.5</v>
      </c>
      <c r="L109" s="11"/>
    </row>
    <row r="110" spans="4:14" x14ac:dyDescent="0.3">
      <c r="D110" s="1" t="s">
        <v>100</v>
      </c>
      <c r="I110" s="1" t="s">
        <v>230</v>
      </c>
      <c r="J110" s="2" t="s">
        <v>193</v>
      </c>
      <c r="K110" s="11">
        <f t="shared" si="0"/>
        <v>5.666666666666667</v>
      </c>
      <c r="L110" s="11"/>
    </row>
    <row r="111" spans="4:14" x14ac:dyDescent="0.3">
      <c r="D111" s="1" t="s">
        <v>101</v>
      </c>
      <c r="I111" s="1" t="s">
        <v>230</v>
      </c>
      <c r="J111" s="2" t="s">
        <v>193</v>
      </c>
      <c r="K111" s="11">
        <f t="shared" si="0"/>
        <v>2.5</v>
      </c>
      <c r="L111" s="11"/>
    </row>
    <row r="112" spans="4:14" x14ac:dyDescent="0.3">
      <c r="D112" s="1" t="s">
        <v>98</v>
      </c>
      <c r="I112" s="1" t="s">
        <v>230</v>
      </c>
      <c r="J112" s="2" t="s">
        <v>193</v>
      </c>
      <c r="K112" s="11">
        <f t="shared" si="0"/>
        <v>14.833333333333334</v>
      </c>
      <c r="L112" s="11"/>
    </row>
    <row r="113" spans="4:14" x14ac:dyDescent="0.3">
      <c r="D113" s="1" t="s">
        <v>102</v>
      </c>
      <c r="I113" s="1" t="s">
        <v>230</v>
      </c>
      <c r="J113" s="2" t="s">
        <v>193</v>
      </c>
      <c r="K113" s="11">
        <f t="shared" si="0"/>
        <v>4.9450000000000003</v>
      </c>
      <c r="L113" s="11"/>
    </row>
    <row r="114" spans="4:14" x14ac:dyDescent="0.3">
      <c r="D114" s="1" t="s">
        <v>103</v>
      </c>
      <c r="I114" s="1" t="s">
        <v>231</v>
      </c>
      <c r="J114" s="2" t="s">
        <v>193</v>
      </c>
      <c r="K114" s="11">
        <f>12*K34/12</f>
        <v>19</v>
      </c>
      <c r="L114" s="11"/>
    </row>
    <row r="115" spans="4:14" x14ac:dyDescent="0.3">
      <c r="D115" s="1" t="s">
        <v>104</v>
      </c>
      <c r="J115" s="2" t="s">
        <v>191</v>
      </c>
      <c r="K115" s="11">
        <f>SUM(K108:K114)</f>
        <v>74.944999999999993</v>
      </c>
      <c r="L115" s="11"/>
      <c r="M115" s="13">
        <f>K115</f>
        <v>74.944999999999993</v>
      </c>
    </row>
    <row r="116" spans="4:14" ht="14.4" x14ac:dyDescent="0.35">
      <c r="D116" s="4" t="s">
        <v>105</v>
      </c>
      <c r="I116" s="4"/>
      <c r="J116" s="5" t="s">
        <v>191</v>
      </c>
      <c r="K116" s="14">
        <f>K115+K106</f>
        <v>94.224999999999994</v>
      </c>
      <c r="L116" s="14"/>
      <c r="M116" s="13">
        <f>M115</f>
        <v>74.944999999999993</v>
      </c>
      <c r="N116" s="13">
        <f>N106</f>
        <v>19.28</v>
      </c>
    </row>
    <row r="117" spans="4:14" ht="14.4" x14ac:dyDescent="0.35">
      <c r="D117" s="4" t="s">
        <v>106</v>
      </c>
      <c r="I117" s="4"/>
      <c r="J117" s="5"/>
      <c r="K117" s="14">
        <f>K85+K88+K94+K116+K100</f>
        <v>359.70661122857132</v>
      </c>
      <c r="L117" s="14"/>
      <c r="M117" s="14">
        <f t="shared" ref="M117" si="1">M85+M88+M94+M116+M100</f>
        <v>390.20109830861128</v>
      </c>
      <c r="N117" s="14">
        <f>N85+N88+N94+N116+N100-0.01</f>
        <v>95.353153977103034</v>
      </c>
    </row>
    <row r="118" spans="4:14" ht="14.4" x14ac:dyDescent="0.35">
      <c r="D118" s="4" t="s">
        <v>107</v>
      </c>
      <c r="I118" s="4"/>
      <c r="J118" s="5"/>
      <c r="K118" s="6"/>
      <c r="L118" s="6"/>
    </row>
    <row r="119" spans="4:14" x14ac:dyDescent="0.3">
      <c r="D119" s="1" t="s">
        <v>108</v>
      </c>
      <c r="I119" s="12" t="s">
        <v>195</v>
      </c>
      <c r="J119" s="2" t="s">
        <v>7</v>
      </c>
      <c r="K119" s="3" t="s">
        <v>8</v>
      </c>
    </row>
    <row r="120" spans="4:14" x14ac:dyDescent="0.3">
      <c r="D120" s="1" t="s">
        <v>109</v>
      </c>
      <c r="J120" s="2" t="s">
        <v>191</v>
      </c>
      <c r="K120" s="11">
        <f>K117</f>
        <v>359.70661122857132</v>
      </c>
      <c r="L120" s="11"/>
      <c r="M120" s="11">
        <f t="shared" ref="M120:N120" si="2">M117</f>
        <v>390.20109830861128</v>
      </c>
      <c r="N120" s="11">
        <f t="shared" si="2"/>
        <v>95.353153977103034</v>
      </c>
    </row>
    <row r="121" spans="4:14" ht="14.4" x14ac:dyDescent="0.35">
      <c r="D121" s="4" t="s">
        <v>110</v>
      </c>
      <c r="I121" s="16">
        <v>0.01</v>
      </c>
      <c r="J121" s="5" t="s">
        <v>191</v>
      </c>
      <c r="K121" s="14">
        <f>K120*$I$121</f>
        <v>3.597066112285713</v>
      </c>
      <c r="L121" s="14"/>
      <c r="M121" s="14">
        <f t="shared" ref="M121:N121" si="3">M120*$I$121</f>
        <v>3.9020109830861127</v>
      </c>
      <c r="N121" s="14">
        <f t="shared" si="3"/>
        <v>0.95353153977103033</v>
      </c>
    </row>
    <row r="122" spans="4:14" x14ac:dyDescent="0.3">
      <c r="D122" s="1" t="s">
        <v>111</v>
      </c>
    </row>
    <row r="123" spans="4:14" x14ac:dyDescent="0.3">
      <c r="D123" s="1" t="s">
        <v>112</v>
      </c>
      <c r="J123" s="2" t="s">
        <v>191</v>
      </c>
      <c r="K123" s="11">
        <f>K120+K121</f>
        <v>363.30367734085701</v>
      </c>
      <c r="L123" s="11"/>
      <c r="M123" s="11">
        <f t="shared" ref="M123:N123" si="4">M120+M121</f>
        <v>394.10310929169736</v>
      </c>
      <c r="N123" s="11">
        <f t="shared" si="4"/>
        <v>96.306685516874069</v>
      </c>
    </row>
    <row r="124" spans="4:14" ht="14.4" x14ac:dyDescent="0.35">
      <c r="D124" s="4" t="s">
        <v>113</v>
      </c>
      <c r="I124" s="16">
        <v>0.05</v>
      </c>
      <c r="J124" s="5" t="s">
        <v>191</v>
      </c>
      <c r="K124" s="14">
        <f>K123*$I$124</f>
        <v>18.165183867042852</v>
      </c>
      <c r="L124" s="14"/>
      <c r="M124" s="14">
        <f t="shared" ref="M124:N124" si="5">M123*$I$124</f>
        <v>19.70515546458487</v>
      </c>
      <c r="N124" s="14">
        <f t="shared" si="5"/>
        <v>4.8153342758437034</v>
      </c>
    </row>
    <row r="125" spans="4:14" x14ac:dyDescent="0.3">
      <c r="D125" s="1" t="s">
        <v>114</v>
      </c>
    </row>
    <row r="126" spans="4:14" x14ac:dyDescent="0.3">
      <c r="D126" s="1" t="s">
        <v>115</v>
      </c>
      <c r="K126" s="11">
        <f>K123+K124</f>
        <v>381.46886120789986</v>
      </c>
      <c r="L126" s="11"/>
      <c r="M126" s="11">
        <f t="shared" ref="M126:N126" si="6">M123+M124</f>
        <v>413.80826475628226</v>
      </c>
      <c r="N126" s="11">
        <f t="shared" si="6"/>
        <v>101.12201979271777</v>
      </c>
    </row>
    <row r="127" spans="4:14" x14ac:dyDescent="0.3">
      <c r="D127" s="1" t="s">
        <v>116</v>
      </c>
      <c r="I127" s="15">
        <v>0.03</v>
      </c>
      <c r="J127" s="2" t="s">
        <v>191</v>
      </c>
      <c r="K127" s="11">
        <f>K126*$I$127</f>
        <v>11.444065836236996</v>
      </c>
      <c r="L127" s="11"/>
      <c r="M127" s="11">
        <f t="shared" ref="M127:N127" si="7">M126*$I$127</f>
        <v>12.414247942688467</v>
      </c>
      <c r="N127" s="11">
        <f t="shared" si="7"/>
        <v>3.0336605937815326</v>
      </c>
    </row>
    <row r="128" spans="4:14" x14ac:dyDescent="0.3">
      <c r="D128" s="1" t="s">
        <v>117</v>
      </c>
      <c r="I128" s="15">
        <v>6.4999999999999997E-3</v>
      </c>
      <c r="J128" s="2" t="s">
        <v>191</v>
      </c>
      <c r="K128" s="11">
        <f>K126*$I$128</f>
        <v>2.479547597851349</v>
      </c>
      <c r="L128" s="11"/>
      <c r="M128" s="11">
        <f t="shared" ref="M128:N128" si="8">M126*$I$128</f>
        <v>2.6897537209158346</v>
      </c>
      <c r="N128" s="11">
        <f t="shared" si="8"/>
        <v>0.65729312865266543</v>
      </c>
    </row>
    <row r="129" spans="1:14" x14ac:dyDescent="0.3">
      <c r="D129" s="1" t="s">
        <v>118</v>
      </c>
      <c r="I129" s="15">
        <v>0.02</v>
      </c>
      <c r="J129" s="2" t="s">
        <v>191</v>
      </c>
      <c r="K129" s="11">
        <f>K126*$I$129</f>
        <v>7.6293772241579978</v>
      </c>
      <c r="L129" s="11"/>
      <c r="M129" s="11">
        <f t="shared" ref="M129:N129" si="9">M126*$I$129</f>
        <v>8.2761652951256455</v>
      </c>
      <c r="N129" s="11">
        <f t="shared" si="9"/>
        <v>2.0224403958543555</v>
      </c>
    </row>
    <row r="130" spans="1:14" ht="14.4" x14ac:dyDescent="0.35">
      <c r="D130" s="4" t="s">
        <v>119</v>
      </c>
      <c r="E130" s="4"/>
      <c r="F130" s="4"/>
      <c r="G130" s="4"/>
      <c r="H130" s="4"/>
      <c r="I130" s="4"/>
      <c r="J130" s="5" t="s">
        <v>191</v>
      </c>
      <c r="K130" s="14">
        <f>K127+K128+K129</f>
        <v>21.552990658246344</v>
      </c>
      <c r="L130" s="14"/>
      <c r="M130" s="14">
        <f t="shared" ref="M130:N130" si="10">M127+M128+M129</f>
        <v>23.380166958729948</v>
      </c>
      <c r="N130" s="14">
        <f t="shared" si="10"/>
        <v>5.7133941182885533</v>
      </c>
    </row>
    <row r="131" spans="1:14" ht="14.4" x14ac:dyDescent="0.35">
      <c r="D131" s="4" t="s">
        <v>120</v>
      </c>
      <c r="I131" s="16"/>
      <c r="J131" s="5" t="s">
        <v>191</v>
      </c>
      <c r="K131" s="14">
        <f>K130+K124+K121</f>
        <v>43.315240637574917</v>
      </c>
      <c r="L131" s="14"/>
      <c r="M131" s="14">
        <f t="shared" ref="M131:N131" si="11">M130+M124+M121</f>
        <v>46.987333406400936</v>
      </c>
      <c r="N131" s="14">
        <f t="shared" si="11"/>
        <v>11.482259933903286</v>
      </c>
    </row>
    <row r="132" spans="1:14" ht="14.4" x14ac:dyDescent="0.35">
      <c r="A132" s="25"/>
      <c r="B132" s="25"/>
      <c r="C132" s="25"/>
      <c r="D132" s="26" t="s">
        <v>121</v>
      </c>
      <c r="E132" s="25"/>
      <c r="F132" s="25"/>
      <c r="G132" s="25"/>
      <c r="H132" s="25"/>
      <c r="I132" s="26"/>
      <c r="J132" s="27" t="s">
        <v>191</v>
      </c>
      <c r="K132" s="28">
        <f>K131+K117</f>
        <v>403.02185186614622</v>
      </c>
      <c r="L132" s="28"/>
      <c r="M132" s="28">
        <f t="shared" ref="M132:N132" si="12">M131+M117</f>
        <v>437.1884317150122</v>
      </c>
      <c r="N132" s="28">
        <f t="shared" si="12"/>
        <v>106.83541391100633</v>
      </c>
    </row>
    <row r="133" spans="1:14" ht="14.4" x14ac:dyDescent="0.35">
      <c r="B133" s="4" t="s">
        <v>122</v>
      </c>
      <c r="I133" s="15"/>
    </row>
    <row r="134" spans="1:14" ht="14.4" x14ac:dyDescent="0.35">
      <c r="D134" s="4" t="s">
        <v>5</v>
      </c>
    </row>
    <row r="135" spans="1:14" x14ac:dyDescent="0.3">
      <c r="D135" s="1" t="s">
        <v>124</v>
      </c>
      <c r="J135" s="2" t="s">
        <v>197</v>
      </c>
      <c r="K135" s="22">
        <v>408</v>
      </c>
      <c r="L135" s="22"/>
    </row>
    <row r="136" spans="1:14" x14ac:dyDescent="0.3">
      <c r="D136" s="1" t="s">
        <v>247</v>
      </c>
      <c r="J136" s="2" t="s">
        <v>226</v>
      </c>
      <c r="K136" s="3">
        <v>1</v>
      </c>
    </row>
    <row r="137" spans="1:14" ht="14.4" x14ac:dyDescent="0.35">
      <c r="D137" s="4" t="s">
        <v>13</v>
      </c>
    </row>
    <row r="138" spans="1:14" x14ac:dyDescent="0.3">
      <c r="D138" s="1" t="s">
        <v>126</v>
      </c>
      <c r="J138" s="2" t="s">
        <v>198</v>
      </c>
      <c r="K138" s="3">
        <f>K15</f>
        <v>2</v>
      </c>
      <c r="M138" s="3">
        <f>K138</f>
        <v>2</v>
      </c>
      <c r="N138" s="3">
        <f>M138</f>
        <v>2</v>
      </c>
    </row>
    <row r="139" spans="1:14" x14ac:dyDescent="0.3">
      <c r="D139" s="1" t="s">
        <v>127</v>
      </c>
      <c r="J139" s="2" t="s">
        <v>17</v>
      </c>
      <c r="K139" s="20">
        <f>K17</f>
        <v>2.3809523809523808E-2</v>
      </c>
      <c r="L139" s="20"/>
      <c r="M139" s="20">
        <f>K139</f>
        <v>2.3809523809523808E-2</v>
      </c>
      <c r="N139" s="20">
        <f>M139</f>
        <v>2.3809523809523808E-2</v>
      </c>
    </row>
    <row r="140" spans="1:14" x14ac:dyDescent="0.3">
      <c r="D140" s="1" t="s">
        <v>240</v>
      </c>
      <c r="J140" s="2" t="s">
        <v>199</v>
      </c>
      <c r="K140" s="23">
        <v>408</v>
      </c>
      <c r="L140" s="23"/>
      <c r="M140" s="23"/>
      <c r="N140" s="23">
        <v>3445.22</v>
      </c>
    </row>
    <row r="141" spans="1:14" x14ac:dyDescent="0.3">
      <c r="D141" s="1" t="s">
        <v>130</v>
      </c>
      <c r="J141" s="2" t="s">
        <v>204</v>
      </c>
      <c r="K141" s="11">
        <v>115428.78</v>
      </c>
      <c r="L141" s="11"/>
      <c r="M141" s="11">
        <v>55428.78</v>
      </c>
      <c r="N141" s="11">
        <v>55428.78</v>
      </c>
    </row>
    <row r="142" spans="1:14" x14ac:dyDescent="0.3">
      <c r="D142" s="1" t="s">
        <v>248</v>
      </c>
      <c r="J142" s="2" t="s">
        <v>204</v>
      </c>
      <c r="K142" s="11">
        <v>45000</v>
      </c>
      <c r="L142" s="11"/>
      <c r="M142" s="11">
        <v>21300</v>
      </c>
      <c r="N142" s="11">
        <v>21300</v>
      </c>
    </row>
    <row r="143" spans="1:14" x14ac:dyDescent="0.3">
      <c r="D143" s="1" t="s">
        <v>131</v>
      </c>
      <c r="J143" s="2" t="s">
        <v>206</v>
      </c>
      <c r="K143" s="11">
        <v>4.7699999999999996</v>
      </c>
      <c r="L143" s="11"/>
      <c r="M143" s="11">
        <v>3.15</v>
      </c>
      <c r="N143" s="11">
        <v>3.15</v>
      </c>
    </row>
    <row r="144" spans="1:14" x14ac:dyDescent="0.3">
      <c r="D144" s="1" t="s">
        <v>132</v>
      </c>
      <c r="J144" s="2" t="s">
        <v>204</v>
      </c>
      <c r="K144" s="11">
        <v>1850</v>
      </c>
      <c r="L144" s="11"/>
      <c r="M144" s="11">
        <v>1483.2</v>
      </c>
      <c r="N144" s="11">
        <v>1483.2</v>
      </c>
    </row>
    <row r="145" spans="4:14" x14ac:dyDescent="0.3">
      <c r="D145" s="1" t="s">
        <v>133</v>
      </c>
      <c r="J145" s="2" t="s">
        <v>204</v>
      </c>
      <c r="K145" s="11">
        <f>597.83*1.2</f>
        <v>717.39600000000007</v>
      </c>
      <c r="L145" s="11"/>
      <c r="M145" s="11">
        <v>597.83000000000004</v>
      </c>
      <c r="N145" s="11">
        <v>597.83000000000004</v>
      </c>
    </row>
    <row r="146" spans="4:14" x14ac:dyDescent="0.3">
      <c r="D146" s="1" t="s">
        <v>134</v>
      </c>
      <c r="J146" s="2" t="s">
        <v>207</v>
      </c>
      <c r="K146" s="11">
        <v>180.65</v>
      </c>
      <c r="L146" s="11"/>
      <c r="M146" s="11">
        <v>71.08</v>
      </c>
      <c r="N146" s="11">
        <v>71.08</v>
      </c>
    </row>
    <row r="147" spans="4:14" x14ac:dyDescent="0.3">
      <c r="D147" s="1" t="s">
        <v>135</v>
      </c>
      <c r="J147" s="2" t="s">
        <v>207</v>
      </c>
      <c r="K147" s="11">
        <v>94.1</v>
      </c>
      <c r="L147" s="11"/>
      <c r="M147" s="11">
        <v>48.81</v>
      </c>
      <c r="N147" s="11">
        <v>48.81</v>
      </c>
    </row>
    <row r="148" spans="4:14" x14ac:dyDescent="0.3">
      <c r="D148" s="1" t="s">
        <v>136</v>
      </c>
      <c r="J148" s="2" t="s">
        <v>17</v>
      </c>
      <c r="K148" s="20">
        <v>0.01</v>
      </c>
      <c r="L148" s="20"/>
      <c r="M148" s="20">
        <v>0.01</v>
      </c>
      <c r="N148" s="20">
        <v>0.01</v>
      </c>
    </row>
    <row r="149" spans="4:14" x14ac:dyDescent="0.3">
      <c r="D149" s="1" t="s">
        <v>137</v>
      </c>
      <c r="J149" s="2" t="s">
        <v>208</v>
      </c>
      <c r="K149" s="3">
        <v>0.37</v>
      </c>
      <c r="M149" s="3">
        <v>0.37</v>
      </c>
      <c r="N149" s="3">
        <v>0.37</v>
      </c>
    </row>
    <row r="150" spans="4:14" x14ac:dyDescent="0.3">
      <c r="D150" s="1" t="s">
        <v>138</v>
      </c>
      <c r="J150" s="2" t="s">
        <v>208</v>
      </c>
      <c r="K150" s="3">
        <v>0.05</v>
      </c>
      <c r="M150" s="3">
        <v>0.05</v>
      </c>
      <c r="N150" s="3">
        <v>0.05</v>
      </c>
    </row>
    <row r="151" spans="4:14" x14ac:dyDescent="0.3">
      <c r="D151" s="1" t="s">
        <v>139</v>
      </c>
      <c r="J151" s="2" t="s">
        <v>209</v>
      </c>
      <c r="K151" s="24">
        <v>85000</v>
      </c>
      <c r="L151" s="24"/>
      <c r="M151" s="24">
        <v>85000</v>
      </c>
      <c r="N151" s="24">
        <v>85000</v>
      </c>
    </row>
    <row r="152" spans="4:14" x14ac:dyDescent="0.3">
      <c r="D152" s="1" t="s">
        <v>140</v>
      </c>
      <c r="J152" s="2" t="s">
        <v>210</v>
      </c>
      <c r="K152" s="20">
        <v>5.7999999999999996E-3</v>
      </c>
      <c r="L152" s="20"/>
      <c r="M152" s="20">
        <v>5.7999999999999996E-3</v>
      </c>
      <c r="N152" s="20">
        <v>5.7999999999999996E-3</v>
      </c>
    </row>
    <row r="153" spans="4:14" x14ac:dyDescent="0.3">
      <c r="D153" s="1" t="s">
        <v>141</v>
      </c>
      <c r="J153" s="2" t="s">
        <v>210</v>
      </c>
      <c r="K153" s="20">
        <v>2.3999999999999998E-3</v>
      </c>
      <c r="L153" s="20"/>
      <c r="M153" s="20">
        <v>2.3999999999999998E-3</v>
      </c>
      <c r="N153" s="20">
        <v>2.3999999999999998E-3</v>
      </c>
    </row>
    <row r="154" spans="4:14" x14ac:dyDescent="0.3">
      <c r="D154" s="1" t="s">
        <v>142</v>
      </c>
      <c r="J154" s="2" t="s">
        <v>210</v>
      </c>
      <c r="K154" s="20">
        <v>2E-3</v>
      </c>
      <c r="L154" s="20"/>
      <c r="M154" s="20">
        <v>2E-3</v>
      </c>
      <c r="N154" s="20">
        <v>2E-3</v>
      </c>
    </row>
    <row r="155" spans="4:14" ht="14.4" x14ac:dyDescent="0.35">
      <c r="D155" s="4" t="s">
        <v>78</v>
      </c>
    </row>
    <row r="156" spans="4:14" x14ac:dyDescent="0.3">
      <c r="D156" s="1" t="s">
        <v>143</v>
      </c>
      <c r="J156" s="2" t="s">
        <v>7</v>
      </c>
      <c r="K156" s="3" t="s">
        <v>8</v>
      </c>
    </row>
    <row r="157" spans="4:14" ht="14.4" x14ac:dyDescent="0.35">
      <c r="D157" s="4" t="s">
        <v>144</v>
      </c>
      <c r="J157" s="5" t="s">
        <v>18</v>
      </c>
      <c r="K157" s="14">
        <f>(K140)*K143*K149</f>
        <v>720.0791999999999</v>
      </c>
      <c r="L157" s="14"/>
      <c r="M157" s="14" t="e">
        <f>(#REF!+M140)*M143*M149</f>
        <v>#REF!</v>
      </c>
      <c r="N157" s="14" t="e">
        <f>(#REF!+N140)*N143*N149</f>
        <v>#REF!</v>
      </c>
    </row>
    <row r="158" spans="4:14" x14ac:dyDescent="0.3">
      <c r="D158" s="1" t="s">
        <v>145</v>
      </c>
    </row>
    <row r="159" spans="4:14" x14ac:dyDescent="0.3">
      <c r="D159" s="1" t="s">
        <v>146</v>
      </c>
      <c r="J159" s="2" t="s">
        <v>211</v>
      </c>
      <c r="K159" s="11">
        <f>K143*K149*K150</f>
        <v>8.8245000000000004E-2</v>
      </c>
      <c r="L159" s="11"/>
      <c r="M159" s="11">
        <f t="shared" ref="M159:N159" si="13">M143*M149*M150</f>
        <v>5.8275E-2</v>
      </c>
      <c r="N159" s="11">
        <f t="shared" si="13"/>
        <v>5.8275E-2</v>
      </c>
    </row>
    <row r="160" spans="4:14" ht="14.4" x14ac:dyDescent="0.35">
      <c r="D160" s="4" t="s">
        <v>147</v>
      </c>
      <c r="J160" s="5" t="s">
        <v>18</v>
      </c>
      <c r="K160" s="14">
        <f>K159*(+K140)</f>
        <v>36.003959999999999</v>
      </c>
      <c r="L160" s="14"/>
      <c r="M160" s="14" t="e">
        <f>M159*(#REF!+M140)</f>
        <v>#REF!</v>
      </c>
      <c r="N160" s="14" t="e">
        <f>N159*(#REF!+N140)</f>
        <v>#REF!</v>
      </c>
    </row>
    <row r="161" spans="4:14" x14ac:dyDescent="0.3">
      <c r="D161" s="1" t="s">
        <v>148</v>
      </c>
      <c r="I161" s="12" t="s">
        <v>195</v>
      </c>
      <c r="J161" s="2" t="s">
        <v>7</v>
      </c>
      <c r="K161" s="3" t="s">
        <v>8</v>
      </c>
      <c r="N161" s="13"/>
    </row>
    <row r="162" spans="4:14" x14ac:dyDescent="0.3">
      <c r="D162" s="1" t="s">
        <v>149</v>
      </c>
      <c r="I162" s="1" t="s">
        <v>212</v>
      </c>
      <c r="J162" s="2" t="s">
        <v>213</v>
      </c>
      <c r="K162" s="11">
        <f>6*K144</f>
        <v>11100</v>
      </c>
      <c r="L162" s="11"/>
      <c r="M162" s="11">
        <f t="shared" ref="M162:N162" si="14">6*M144</f>
        <v>8899.2000000000007</v>
      </c>
      <c r="N162" s="11">
        <f t="shared" si="14"/>
        <v>8899.2000000000007</v>
      </c>
    </row>
    <row r="163" spans="4:14" x14ac:dyDescent="0.3">
      <c r="D163" s="1" t="s">
        <v>150</v>
      </c>
      <c r="I163" s="1" t="s">
        <v>214</v>
      </c>
      <c r="J163" s="2" t="s">
        <v>215</v>
      </c>
      <c r="K163" s="11">
        <f>2*K145*6</f>
        <v>8608.7520000000004</v>
      </c>
      <c r="L163" s="11"/>
      <c r="M163" s="11">
        <f t="shared" ref="M163:N163" si="15">2*M145*6</f>
        <v>7173.9600000000009</v>
      </c>
      <c r="N163" s="11">
        <f t="shared" si="15"/>
        <v>7173.9600000000009</v>
      </c>
    </row>
    <row r="164" spans="4:14" ht="14.4" x14ac:dyDescent="0.35">
      <c r="D164" s="4" t="s">
        <v>151</v>
      </c>
      <c r="I164" s="4"/>
      <c r="J164" s="5" t="s">
        <v>216</v>
      </c>
      <c r="K164" s="31">
        <f>(K162+K163)/K151*(+K140)</f>
        <v>94.602009600000002</v>
      </c>
      <c r="L164" s="31"/>
      <c r="M164" s="31" t="e">
        <f>(M162+M163)/M151*(#REF!+M140)</f>
        <v>#REF!</v>
      </c>
      <c r="N164" s="31" t="e">
        <f>(N162+N163)/N151*(#REF!+N140)</f>
        <v>#REF!</v>
      </c>
    </row>
    <row r="165" spans="4:14" x14ac:dyDescent="0.3">
      <c r="D165" s="1" t="s">
        <v>152</v>
      </c>
    </row>
    <row r="166" spans="4:14" x14ac:dyDescent="0.3">
      <c r="D166" s="1" t="s">
        <v>153</v>
      </c>
      <c r="J166" s="2" t="s">
        <v>18</v>
      </c>
      <c r="K166" s="11">
        <f>(K141+K142)*K152*1</f>
        <v>930.48692399999993</v>
      </c>
      <c r="L166" s="11"/>
      <c r="M166" s="11"/>
      <c r="N166" s="11"/>
    </row>
    <row r="167" spans="4:14" ht="14.4" x14ac:dyDescent="0.35">
      <c r="D167" s="4" t="s">
        <v>154</v>
      </c>
      <c r="J167" s="5" t="s">
        <v>18</v>
      </c>
      <c r="K167" s="14">
        <f>K166*K139</f>
        <v>22.154450571428569</v>
      </c>
      <c r="L167" s="14"/>
      <c r="M167" s="14">
        <f>K167/259.5*30.5</f>
        <v>2.6038949611890994</v>
      </c>
      <c r="N167" s="14">
        <f>K167/259.5*229</f>
        <v>19.550555610239467</v>
      </c>
    </row>
    <row r="168" spans="4:14" x14ac:dyDescent="0.3">
      <c r="D168" s="1" t="s">
        <v>155</v>
      </c>
    </row>
    <row r="169" spans="4:14" x14ac:dyDescent="0.3">
      <c r="D169" s="1" t="s">
        <v>156</v>
      </c>
      <c r="J169" s="2" t="s">
        <v>18</v>
      </c>
      <c r="K169" s="11">
        <f>(K141+K142-K162)*K153*1</f>
        <v>358.38907199999994</v>
      </c>
      <c r="L169" s="11"/>
      <c r="M169" s="11"/>
      <c r="N169" s="11"/>
    </row>
    <row r="170" spans="4:14" ht="14.4" x14ac:dyDescent="0.35">
      <c r="D170" s="4" t="s">
        <v>157</v>
      </c>
      <c r="J170" s="5" t="s">
        <v>18</v>
      </c>
      <c r="K170" s="14">
        <f>K169*K139</f>
        <v>8.5330731428571411</v>
      </c>
      <c r="L170" s="14"/>
      <c r="M170" s="14">
        <f>K170/259.5*30.5</f>
        <v>1.0029238183319567</v>
      </c>
      <c r="N170" s="14">
        <f>K170/259.5*229</f>
        <v>7.5301493245251834</v>
      </c>
    </row>
    <row r="171" spans="4:14" x14ac:dyDescent="0.3">
      <c r="D171" s="1" t="s">
        <v>158</v>
      </c>
    </row>
    <row r="172" spans="4:14" x14ac:dyDescent="0.3">
      <c r="D172" s="1" t="s">
        <v>159</v>
      </c>
      <c r="J172" s="2" t="s">
        <v>18</v>
      </c>
      <c r="K172" s="11">
        <f>(K141+K142-K162)*K154*1</f>
        <v>298.65755999999999</v>
      </c>
      <c r="L172" s="11"/>
    </row>
    <row r="173" spans="4:14" ht="14.4" x14ac:dyDescent="0.35">
      <c r="D173" s="4" t="s">
        <v>160</v>
      </c>
      <c r="J173" s="5" t="s">
        <v>18</v>
      </c>
      <c r="K173" s="14">
        <f>K172*K139</f>
        <v>7.1108942857142852</v>
      </c>
      <c r="L173" s="14"/>
      <c r="M173" s="14">
        <f>K173/259.5*30.5</f>
        <v>0.83576984860996417</v>
      </c>
      <c r="N173" s="14">
        <f>K173/259.5*229</f>
        <v>6.2751244371043216</v>
      </c>
    </row>
    <row r="174" spans="4:14" x14ac:dyDescent="0.3">
      <c r="D174" s="1" t="s">
        <v>161</v>
      </c>
    </row>
    <row r="175" spans="4:14" x14ac:dyDescent="0.3">
      <c r="D175" s="1" t="s">
        <v>162</v>
      </c>
      <c r="J175" s="2" t="s">
        <v>18</v>
      </c>
      <c r="K175" s="11">
        <f>K146/12*1</f>
        <v>15.054166666666667</v>
      </c>
      <c r="L175" s="11"/>
    </row>
    <row r="176" spans="4:14" x14ac:dyDescent="0.3">
      <c r="D176" s="1" t="s">
        <v>163</v>
      </c>
      <c r="J176" s="2" t="s">
        <v>18</v>
      </c>
      <c r="K176" s="11">
        <f t="shared" ref="K176" si="16">K147/12*1</f>
        <v>7.8416666666666659</v>
      </c>
      <c r="L176" s="11"/>
    </row>
    <row r="177" spans="4:14" x14ac:dyDescent="0.3">
      <c r="D177" s="1" t="s">
        <v>164</v>
      </c>
      <c r="J177" s="2" t="s">
        <v>18</v>
      </c>
      <c r="K177" s="11">
        <f>(K141+K142)*K148/12</f>
        <v>133.69065000000001</v>
      </c>
      <c r="L177" s="11"/>
    </row>
    <row r="178" spans="4:14" x14ac:dyDescent="0.3">
      <c r="D178" s="1" t="s">
        <v>165</v>
      </c>
      <c r="J178" s="2" t="s">
        <v>18</v>
      </c>
      <c r="K178" s="11">
        <f>K175+K176+K177</f>
        <v>156.58648333333335</v>
      </c>
      <c r="L178" s="11"/>
    </row>
    <row r="179" spans="4:14" ht="14.4" x14ac:dyDescent="0.35">
      <c r="D179" s="4" t="s">
        <v>166</v>
      </c>
      <c r="J179" s="5" t="s">
        <v>18</v>
      </c>
      <c r="K179" s="14">
        <f>K178*K139</f>
        <v>3.7282496031746035</v>
      </c>
      <c r="L179" s="14"/>
      <c r="M179" s="14">
        <f>K179/259.5*30.5</f>
        <v>0.43819504006483784</v>
      </c>
      <c r="N179" s="14">
        <f>K179/259.5*229</f>
        <v>3.290054563109766</v>
      </c>
    </row>
    <row r="180" spans="4:14" ht="14.4" x14ac:dyDescent="0.35">
      <c r="D180" s="4" t="s">
        <v>167</v>
      </c>
      <c r="K180" s="14">
        <f>K157+K160+K164+K167+K170+K173+K179</f>
        <v>892.21183720317447</v>
      </c>
      <c r="L180" s="14"/>
      <c r="M180" s="14" t="e">
        <f t="shared" ref="M180:N180" si="17">M157+M160+M164+M167+M170+M173+M179</f>
        <v>#REF!</v>
      </c>
      <c r="N180" s="14" t="e">
        <f t="shared" si="17"/>
        <v>#REF!</v>
      </c>
    </row>
    <row r="181" spans="4:14" ht="14.4" x14ac:dyDescent="0.35">
      <c r="D181" s="4" t="s">
        <v>107</v>
      </c>
    </row>
    <row r="182" spans="4:14" x14ac:dyDescent="0.3">
      <c r="D182" s="1" t="s">
        <v>108</v>
      </c>
      <c r="I182" s="12" t="s">
        <v>195</v>
      </c>
      <c r="J182" s="2" t="s">
        <v>7</v>
      </c>
      <c r="K182" s="3" t="s">
        <v>8</v>
      </c>
    </row>
    <row r="183" spans="4:14" x14ac:dyDescent="0.3">
      <c r="D183" s="1" t="s">
        <v>109</v>
      </c>
      <c r="J183" s="2" t="s">
        <v>191</v>
      </c>
      <c r="K183" s="11">
        <f>K180</f>
        <v>892.21183720317447</v>
      </c>
      <c r="L183" s="11"/>
      <c r="M183" s="11" t="e">
        <f t="shared" ref="M183:N183" si="18">M180</f>
        <v>#REF!</v>
      </c>
      <c r="N183" s="11" t="e">
        <f t="shared" si="18"/>
        <v>#REF!</v>
      </c>
    </row>
    <row r="184" spans="4:14" ht="14.4" x14ac:dyDescent="0.35">
      <c r="D184" s="4" t="s">
        <v>110</v>
      </c>
      <c r="I184" s="16">
        <v>0.01</v>
      </c>
      <c r="J184" s="5" t="s">
        <v>191</v>
      </c>
      <c r="K184" s="14">
        <f>K183*I184</f>
        <v>8.9221183720317452</v>
      </c>
      <c r="L184" s="14"/>
      <c r="M184" s="14" t="e">
        <f t="shared" ref="M184:N184" si="19">M183*$I$121</f>
        <v>#REF!</v>
      </c>
      <c r="N184" s="14" t="e">
        <f t="shared" si="19"/>
        <v>#REF!</v>
      </c>
    </row>
    <row r="185" spans="4:14" x14ac:dyDescent="0.3">
      <c r="D185" s="1" t="s">
        <v>111</v>
      </c>
    </row>
    <row r="186" spans="4:14" x14ac:dyDescent="0.3">
      <c r="D186" s="1" t="s">
        <v>112</v>
      </c>
      <c r="J186" s="2" t="s">
        <v>191</v>
      </c>
      <c r="K186" s="11">
        <f>K184+K183</f>
        <v>901.13395557520619</v>
      </c>
      <c r="L186" s="11"/>
      <c r="M186" s="11" t="e">
        <f t="shared" ref="M186:N186" si="20">M183+M184</f>
        <v>#REF!</v>
      </c>
      <c r="N186" s="11" t="e">
        <f t="shared" si="20"/>
        <v>#REF!</v>
      </c>
    </row>
    <row r="187" spans="4:14" ht="14.4" x14ac:dyDescent="0.35">
      <c r="D187" s="4" t="s">
        <v>113</v>
      </c>
      <c r="I187" s="16">
        <v>0.05</v>
      </c>
      <c r="J187" s="5" t="s">
        <v>191</v>
      </c>
      <c r="K187" s="14">
        <f>K186*I187</f>
        <v>45.056697778760309</v>
      </c>
      <c r="L187" s="14"/>
      <c r="M187" s="14" t="e">
        <f t="shared" ref="M187:N187" si="21">M186*$I$124</f>
        <v>#REF!</v>
      </c>
      <c r="N187" s="14" t="e">
        <f t="shared" si="21"/>
        <v>#REF!</v>
      </c>
    </row>
    <row r="188" spans="4:14" x14ac:dyDescent="0.3">
      <c r="D188" s="1" t="s">
        <v>114</v>
      </c>
    </row>
    <row r="189" spans="4:14" x14ac:dyDescent="0.3">
      <c r="D189" s="1" t="s">
        <v>115</v>
      </c>
      <c r="K189" s="11">
        <f>K186+K187</f>
        <v>946.19065335396647</v>
      </c>
      <c r="L189" s="11"/>
      <c r="M189" s="11" t="e">
        <f t="shared" ref="M189:N189" si="22">M186+M187</f>
        <v>#REF!</v>
      </c>
      <c r="N189" s="11" t="e">
        <f t="shared" si="22"/>
        <v>#REF!</v>
      </c>
    </row>
    <row r="190" spans="4:14" x14ac:dyDescent="0.3">
      <c r="D190" s="1" t="s">
        <v>116</v>
      </c>
      <c r="I190" s="15">
        <v>0.03</v>
      </c>
      <c r="J190" s="2" t="s">
        <v>191</v>
      </c>
      <c r="K190" s="11">
        <f>K189*I190</f>
        <v>28.385719600618994</v>
      </c>
      <c r="L190" s="11"/>
      <c r="M190" s="11" t="e">
        <f t="shared" ref="M190:N190" si="23">M189*$I$127</f>
        <v>#REF!</v>
      </c>
      <c r="N190" s="11" t="e">
        <f t="shared" si="23"/>
        <v>#REF!</v>
      </c>
    </row>
    <row r="191" spans="4:14" x14ac:dyDescent="0.3">
      <c r="D191" s="1" t="s">
        <v>117</v>
      </c>
      <c r="I191" s="15">
        <v>6.4999999999999997E-3</v>
      </c>
      <c r="J191" s="2" t="s">
        <v>191</v>
      </c>
      <c r="K191" s="11">
        <f>K189*I191</f>
        <v>6.1502392468007816</v>
      </c>
      <c r="L191" s="11"/>
      <c r="M191" s="11" t="e">
        <f t="shared" ref="M191:N191" si="24">M189*$I$128</f>
        <v>#REF!</v>
      </c>
      <c r="N191" s="11" t="e">
        <f t="shared" si="24"/>
        <v>#REF!</v>
      </c>
    </row>
    <row r="192" spans="4:14" x14ac:dyDescent="0.3">
      <c r="D192" s="1" t="s">
        <v>118</v>
      </c>
      <c r="I192" s="15">
        <v>0.02</v>
      </c>
      <c r="J192" s="2" t="s">
        <v>191</v>
      </c>
      <c r="K192" s="11">
        <f>K189*I192</f>
        <v>18.92381306707933</v>
      </c>
      <c r="L192" s="11"/>
      <c r="M192" s="11" t="e">
        <f t="shared" ref="M192:N192" si="25">M189*$I$129</f>
        <v>#REF!</v>
      </c>
      <c r="N192" s="11" t="e">
        <f t="shared" si="25"/>
        <v>#REF!</v>
      </c>
    </row>
    <row r="193" spans="1:17" ht="14.4" x14ac:dyDescent="0.35">
      <c r="D193" s="4" t="s">
        <v>119</v>
      </c>
      <c r="J193" s="5" t="s">
        <v>191</v>
      </c>
      <c r="K193" s="14">
        <f>K190+K191+K192</f>
        <v>53.459771914499107</v>
      </c>
      <c r="L193" s="14"/>
      <c r="M193" s="14" t="e">
        <f t="shared" ref="M193:N193" si="26">M190+M191+M192</f>
        <v>#REF!</v>
      </c>
      <c r="N193" s="14" t="e">
        <f t="shared" si="26"/>
        <v>#REF!</v>
      </c>
    </row>
    <row r="194" spans="1:17" ht="14.4" x14ac:dyDescent="0.35">
      <c r="D194" s="4" t="s">
        <v>120</v>
      </c>
      <c r="I194" s="16"/>
      <c r="J194" s="5" t="s">
        <v>191</v>
      </c>
      <c r="K194" s="14">
        <f>K193+K187+K184</f>
        <v>107.43858806529116</v>
      </c>
      <c r="L194" s="14"/>
      <c r="M194" s="14" t="e">
        <f t="shared" ref="M194:N194" si="27">M193+M187+M184</f>
        <v>#REF!</v>
      </c>
      <c r="N194" s="14" t="e">
        <f t="shared" si="27"/>
        <v>#REF!</v>
      </c>
    </row>
    <row r="195" spans="1:17" ht="14.4" x14ac:dyDescent="0.35">
      <c r="A195" s="25"/>
      <c r="B195" s="25"/>
      <c r="C195" s="25"/>
      <c r="D195" s="26" t="s">
        <v>168</v>
      </c>
      <c r="E195" s="25"/>
      <c r="F195" s="25"/>
      <c r="G195" s="25"/>
      <c r="H195" s="25"/>
      <c r="I195" s="26"/>
      <c r="J195" s="27" t="s">
        <v>191</v>
      </c>
      <c r="K195" s="28">
        <f>K194+K180</f>
        <v>999.6504252684656</v>
      </c>
      <c r="L195" s="28"/>
      <c r="M195" s="28" t="e">
        <f t="shared" ref="M195:N195" si="28">M194+M180</f>
        <v>#REF!</v>
      </c>
      <c r="N195" s="28" t="e">
        <f t="shared" si="28"/>
        <v>#REF!</v>
      </c>
    </row>
    <row r="196" spans="1:17" ht="14.4" x14ac:dyDescent="0.35">
      <c r="A196" s="25"/>
      <c r="B196" s="25"/>
      <c r="C196" s="25"/>
      <c r="D196" s="26" t="s">
        <v>169</v>
      </c>
      <c r="E196" s="25"/>
      <c r="F196" s="25"/>
      <c r="G196" s="25"/>
      <c r="H196" s="25"/>
      <c r="I196" s="25"/>
      <c r="J196" s="29"/>
      <c r="K196" s="28">
        <f>K195+K132</f>
        <v>1402.6722771346117</v>
      </c>
      <c r="L196" s="28"/>
      <c r="M196" s="28" t="e">
        <f>M195+M132</f>
        <v>#REF!</v>
      </c>
      <c r="N196" s="28" t="e">
        <f>N195+N132</f>
        <v>#REF!</v>
      </c>
      <c r="Q196" s="13"/>
    </row>
    <row r="197" spans="1:17" ht="14.4" x14ac:dyDescent="0.35">
      <c r="B197" s="4" t="s">
        <v>170</v>
      </c>
      <c r="C197" s="4"/>
      <c r="D197" s="4"/>
    </row>
    <row r="198" spans="1:17" ht="14.4" x14ac:dyDescent="0.35">
      <c r="B198" s="4" t="s">
        <v>232</v>
      </c>
    </row>
    <row r="199" spans="1:17" ht="14.4" x14ac:dyDescent="0.35">
      <c r="D199" s="4" t="s">
        <v>5</v>
      </c>
      <c r="J199" s="2" t="s">
        <v>7</v>
      </c>
      <c r="K199" s="3" t="s">
        <v>8</v>
      </c>
    </row>
    <row r="200" spans="1:17" x14ac:dyDescent="0.3">
      <c r="D200" s="1" t="s">
        <v>234</v>
      </c>
      <c r="J200" s="2" t="s">
        <v>233</v>
      </c>
      <c r="K200" s="3">
        <v>600</v>
      </c>
    </row>
    <row r="201" spans="1:17" x14ac:dyDescent="0.3">
      <c r="D201" s="1" t="s">
        <v>235</v>
      </c>
      <c r="J201" s="2" t="s">
        <v>233</v>
      </c>
      <c r="K201" s="3">
        <v>50</v>
      </c>
    </row>
    <row r="202" spans="1:17" ht="14.4" x14ac:dyDescent="0.35">
      <c r="D202" s="4" t="s">
        <v>13</v>
      </c>
    </row>
    <row r="203" spans="1:17" x14ac:dyDescent="0.3">
      <c r="D203" s="1" t="s">
        <v>237</v>
      </c>
      <c r="J203" s="2" t="s">
        <v>238</v>
      </c>
      <c r="K203" s="11">
        <v>1.1000000000000001</v>
      </c>
      <c r="L203" s="11"/>
    </row>
    <row r="204" spans="1:17" x14ac:dyDescent="0.3">
      <c r="D204" s="1" t="s">
        <v>236</v>
      </c>
      <c r="J204" s="2" t="s">
        <v>238</v>
      </c>
      <c r="K204" s="11">
        <v>3.1</v>
      </c>
      <c r="L204" s="11"/>
    </row>
    <row r="205" spans="1:17" ht="14.4" x14ac:dyDescent="0.35">
      <c r="D205" s="4" t="s">
        <v>78</v>
      </c>
    </row>
    <row r="206" spans="1:17" x14ac:dyDescent="0.3">
      <c r="D206" s="1" t="s">
        <v>174</v>
      </c>
      <c r="N206" s="34"/>
    </row>
    <row r="207" spans="1:17" x14ac:dyDescent="0.3">
      <c r="D207" s="1" t="s">
        <v>242</v>
      </c>
      <c r="J207" s="2" t="s">
        <v>216</v>
      </c>
      <c r="K207" s="11">
        <f>(K200*K203)+(K201*K204)</f>
        <v>815</v>
      </c>
      <c r="L207" s="11"/>
    </row>
    <row r="208" spans="1:17" ht="14.4" x14ac:dyDescent="0.35">
      <c r="D208" s="4" t="s">
        <v>241</v>
      </c>
      <c r="J208" s="5" t="s">
        <v>216</v>
      </c>
      <c r="K208" s="14">
        <f>K207</f>
        <v>815</v>
      </c>
      <c r="L208" s="14"/>
    </row>
    <row r="209" spans="1:17" ht="14.4" x14ac:dyDescent="0.35">
      <c r="D209" s="4" t="s">
        <v>107</v>
      </c>
    </row>
    <row r="210" spans="1:17" ht="14.4" x14ac:dyDescent="0.35">
      <c r="D210" s="4" t="s">
        <v>108</v>
      </c>
      <c r="I210" s="12" t="s">
        <v>195</v>
      </c>
      <c r="J210" s="2" t="s">
        <v>7</v>
      </c>
      <c r="K210" s="3" t="s">
        <v>8</v>
      </c>
    </row>
    <row r="211" spans="1:17" x14ac:dyDescent="0.3">
      <c r="D211" s="1" t="s">
        <v>109</v>
      </c>
      <c r="J211" s="2" t="s">
        <v>191</v>
      </c>
      <c r="K211" s="11">
        <f>K208</f>
        <v>815</v>
      </c>
      <c r="L211" s="11"/>
    </row>
    <row r="212" spans="1:17" ht="14.4" x14ac:dyDescent="0.35">
      <c r="D212" s="4" t="s">
        <v>110</v>
      </c>
      <c r="I212" s="16">
        <v>0.01</v>
      </c>
      <c r="J212" s="5" t="s">
        <v>191</v>
      </c>
      <c r="K212" s="14">
        <f>K211*I212</f>
        <v>8.15</v>
      </c>
      <c r="L212" s="14"/>
    </row>
    <row r="213" spans="1:17" x14ac:dyDescent="0.3">
      <c r="D213" s="1" t="s">
        <v>111</v>
      </c>
    </row>
    <row r="214" spans="1:17" x14ac:dyDescent="0.3">
      <c r="D214" s="1" t="s">
        <v>112</v>
      </c>
      <c r="J214" s="2" t="s">
        <v>191</v>
      </c>
      <c r="K214" s="11">
        <f>K212+K211</f>
        <v>823.15</v>
      </c>
      <c r="L214" s="11"/>
    </row>
    <row r="215" spans="1:17" ht="14.4" x14ac:dyDescent="0.35">
      <c r="D215" s="4" t="s">
        <v>113</v>
      </c>
      <c r="I215" s="16">
        <f>I187</f>
        <v>0.05</v>
      </c>
      <c r="J215" s="5" t="s">
        <v>191</v>
      </c>
      <c r="K215" s="14">
        <v>41.16</v>
      </c>
      <c r="L215" s="14"/>
    </row>
    <row r="216" spans="1:17" x14ac:dyDescent="0.3">
      <c r="D216" s="1" t="s">
        <v>114</v>
      </c>
    </row>
    <row r="217" spans="1:17" x14ac:dyDescent="0.3">
      <c r="D217" s="1" t="s">
        <v>115</v>
      </c>
      <c r="K217" s="11">
        <f>K214+K215</f>
        <v>864.31</v>
      </c>
      <c r="L217" s="11"/>
    </row>
    <row r="218" spans="1:17" x14ac:dyDescent="0.3">
      <c r="D218" s="1" t="s">
        <v>116</v>
      </c>
      <c r="I218" s="15">
        <v>0.03</v>
      </c>
      <c r="J218" s="2" t="s">
        <v>191</v>
      </c>
      <c r="K218" s="11">
        <f>K217*I218</f>
        <v>25.929299999999998</v>
      </c>
      <c r="L218" s="11"/>
    </row>
    <row r="219" spans="1:17" x14ac:dyDescent="0.3">
      <c r="D219" s="1" t="s">
        <v>117</v>
      </c>
      <c r="I219" s="15">
        <v>6.4999999999999997E-3</v>
      </c>
      <c r="J219" s="2" t="s">
        <v>191</v>
      </c>
      <c r="K219" s="11">
        <f>K217*I219</f>
        <v>5.6180149999999998</v>
      </c>
      <c r="L219" s="11"/>
    </row>
    <row r="220" spans="1:17" x14ac:dyDescent="0.3">
      <c r="D220" s="1" t="s">
        <v>118</v>
      </c>
      <c r="I220" s="15">
        <v>0.02</v>
      </c>
      <c r="J220" s="2" t="s">
        <v>191</v>
      </c>
      <c r="K220" s="11">
        <f>K217*I220</f>
        <v>17.286200000000001</v>
      </c>
      <c r="L220" s="11"/>
    </row>
    <row r="221" spans="1:17" ht="14.4" x14ac:dyDescent="0.35">
      <c r="D221" s="4" t="s">
        <v>119</v>
      </c>
      <c r="J221" s="5" t="s">
        <v>191</v>
      </c>
      <c r="K221" s="14">
        <f>K218+K219+K220</f>
        <v>48.833514999999998</v>
      </c>
      <c r="L221" s="14"/>
    </row>
    <row r="222" spans="1:17" ht="14.4" x14ac:dyDescent="0.35">
      <c r="D222" s="4" t="s">
        <v>120</v>
      </c>
      <c r="I222" s="16"/>
      <c r="J222" s="5" t="s">
        <v>191</v>
      </c>
      <c r="K222" s="14">
        <f>K221+K215+K212</f>
        <v>98.143515000000008</v>
      </c>
      <c r="L222" s="14"/>
    </row>
    <row r="223" spans="1:17" ht="14.4" x14ac:dyDescent="0.35">
      <c r="A223" s="25"/>
      <c r="B223" s="25"/>
      <c r="C223" s="25"/>
      <c r="D223" s="26" t="s">
        <v>244</v>
      </c>
      <c r="E223" s="25"/>
      <c r="F223" s="25"/>
      <c r="G223" s="25"/>
      <c r="H223" s="25"/>
      <c r="I223" s="26"/>
      <c r="J223" s="27" t="s">
        <v>191</v>
      </c>
      <c r="K223" s="28">
        <f>K222+K208</f>
        <v>913.14351499999998</v>
      </c>
      <c r="L223" s="35"/>
      <c r="Q223" s="54"/>
    </row>
    <row r="224" spans="1:17" ht="14.4" x14ac:dyDescent="0.35">
      <c r="A224" s="36"/>
      <c r="B224" s="36"/>
      <c r="C224" s="36"/>
      <c r="D224" s="37" t="s">
        <v>178</v>
      </c>
      <c r="E224" s="36"/>
      <c r="F224" s="36"/>
      <c r="G224" s="36"/>
      <c r="H224" s="36"/>
      <c r="I224" s="36"/>
      <c r="J224" s="27" t="s">
        <v>191</v>
      </c>
      <c r="K224" s="40">
        <f>K223</f>
        <v>913.14351499999998</v>
      </c>
      <c r="L224" s="35"/>
      <c r="N224" s="13"/>
      <c r="Q224" s="13"/>
    </row>
    <row r="225" spans="1:18" x14ac:dyDescent="0.3">
      <c r="B225" s="1" t="s">
        <v>221</v>
      </c>
      <c r="N225" s="13"/>
    </row>
    <row r="226" spans="1:18" x14ac:dyDescent="0.3">
      <c r="D226" s="1" t="s">
        <v>180</v>
      </c>
      <c r="J226" s="41" t="s">
        <v>220</v>
      </c>
      <c r="K226" s="3" t="s">
        <v>17</v>
      </c>
    </row>
    <row r="227" spans="1:18" x14ac:dyDescent="0.3">
      <c r="D227" s="1" t="s">
        <v>181</v>
      </c>
      <c r="J227" s="55">
        <v>403.02</v>
      </c>
      <c r="K227" s="43">
        <f t="shared" ref="K227:K231" si="29">J227/$J$234</f>
        <v>0.17415315210204954</v>
      </c>
      <c r="L227" s="43"/>
    </row>
    <row r="228" spans="1:18" x14ac:dyDescent="0.3">
      <c r="D228" s="1" t="s">
        <v>182</v>
      </c>
      <c r="J228" s="55">
        <v>999.65</v>
      </c>
      <c r="K228" s="43">
        <f t="shared" si="29"/>
        <v>0.43196912932066356</v>
      </c>
      <c r="L228" s="43"/>
    </row>
    <row r="229" spans="1:18" x14ac:dyDescent="0.3">
      <c r="D229" s="1" t="s">
        <v>183</v>
      </c>
      <c r="J229" s="11">
        <f>J227+J228</f>
        <v>1402.67</v>
      </c>
      <c r="K229" s="43">
        <f t="shared" si="29"/>
        <v>0.60612228142271307</v>
      </c>
      <c r="L229" s="43"/>
    </row>
    <row r="230" spans="1:18" x14ac:dyDescent="0.3">
      <c r="D230" s="1" t="s">
        <v>184</v>
      </c>
      <c r="J230" s="11"/>
      <c r="K230" s="43"/>
      <c r="L230" s="43"/>
    </row>
    <row r="231" spans="1:18" x14ac:dyDescent="0.3">
      <c r="D231" s="1" t="s">
        <v>243</v>
      </c>
      <c r="J231" s="55">
        <v>913.14</v>
      </c>
      <c r="K231" s="43">
        <f t="shared" si="29"/>
        <v>0.394586395986466</v>
      </c>
      <c r="L231" s="43"/>
    </row>
    <row r="232" spans="1:18" x14ac:dyDescent="0.3">
      <c r="D232" s="1" t="s">
        <v>246</v>
      </c>
      <c r="J232" s="11">
        <v>-1.64</v>
      </c>
      <c r="K232" s="43"/>
      <c r="L232" s="43"/>
    </row>
    <row r="233" spans="1:18" x14ac:dyDescent="0.3">
      <c r="D233" s="1" t="s">
        <v>186</v>
      </c>
      <c r="J233" s="11">
        <f>J231+J232</f>
        <v>911.5</v>
      </c>
      <c r="K233" s="43">
        <f>J233/$J$234</f>
        <v>0.39387771857728687</v>
      </c>
      <c r="L233" s="43"/>
      <c r="R233" s="13"/>
    </row>
    <row r="234" spans="1:18" x14ac:dyDescent="0.3">
      <c r="A234" s="25"/>
      <c r="B234" s="25"/>
      <c r="C234" s="25"/>
      <c r="D234" s="25" t="s">
        <v>187</v>
      </c>
      <c r="E234" s="25"/>
      <c r="F234" s="25"/>
      <c r="G234" s="25"/>
      <c r="H234" s="25"/>
      <c r="I234" s="25"/>
      <c r="J234" s="33">
        <f>J233+J229</f>
        <v>2314.17</v>
      </c>
      <c r="K234" s="44"/>
      <c r="L234" s="43"/>
      <c r="R234" s="13"/>
    </row>
    <row r="235" spans="1:18" x14ac:dyDescent="0.3">
      <c r="A235" s="25"/>
      <c r="B235" s="25"/>
      <c r="C235" s="25"/>
      <c r="D235" s="25" t="s">
        <v>188</v>
      </c>
      <c r="E235" s="25"/>
      <c r="F235" s="25"/>
      <c r="G235" s="25"/>
      <c r="H235" s="25"/>
      <c r="I235" s="25"/>
      <c r="J235" s="33">
        <f>J234*12</f>
        <v>27770.04</v>
      </c>
      <c r="K235" s="30"/>
      <c r="L235" s="42"/>
      <c r="N235" s="13"/>
      <c r="Q235" s="13"/>
      <c r="R235" s="13"/>
    </row>
    <row r="236" spans="1:18" ht="40.5" customHeight="1" x14ac:dyDescent="0.3">
      <c r="B236" s="56" t="s">
        <v>189</v>
      </c>
      <c r="C236" s="56"/>
      <c r="D236" s="56"/>
      <c r="E236" s="56"/>
      <c r="F236" s="56"/>
      <c r="G236" s="56"/>
      <c r="H236" s="56"/>
      <c r="I236" s="56"/>
      <c r="J236" s="56"/>
      <c r="K236" s="56"/>
      <c r="L236" s="17"/>
    </row>
    <row r="238" spans="1:18" ht="50.25" customHeight="1" x14ac:dyDescent="0.3">
      <c r="B238" s="56" t="s">
        <v>239</v>
      </c>
      <c r="C238" s="56"/>
      <c r="D238" s="56"/>
      <c r="E238" s="56"/>
      <c r="F238" s="56"/>
      <c r="G238" s="56"/>
      <c r="H238" s="56"/>
      <c r="I238" s="56"/>
      <c r="J238" s="56"/>
      <c r="K238" s="56"/>
      <c r="L238" s="17"/>
    </row>
  </sheetData>
  <mergeCells count="8">
    <mergeCell ref="B236:K236"/>
    <mergeCell ref="B238:K238"/>
    <mergeCell ref="B5:K5"/>
    <mergeCell ref="B6:K6"/>
    <mergeCell ref="D17:H17"/>
    <mergeCell ref="D59:H59"/>
    <mergeCell ref="D69:H69"/>
    <mergeCell ref="D73:H73"/>
  </mergeCells>
  <pageMargins left="0.51181102362204722" right="0.51181102362204722" top="0.78740157480314965" bottom="0.78740157480314965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38"/>
  <sheetViews>
    <sheetView topLeftCell="A221" workbookViewId="0">
      <selection activeCell="Q230" sqref="Q230"/>
    </sheetView>
  </sheetViews>
  <sheetFormatPr defaultColWidth="9.109375" defaultRowHeight="13.2" x14ac:dyDescent="0.3"/>
  <cols>
    <col min="1" max="1" width="4.109375" style="1" customWidth="1"/>
    <col min="2" max="2" width="9.109375" style="1"/>
    <col min="3" max="3" width="4.88671875" style="1" customWidth="1"/>
    <col min="4" max="6" width="9.109375" style="1"/>
    <col min="7" max="7" width="40.5546875" style="1" customWidth="1"/>
    <col min="8" max="8" width="11.109375" style="1" hidden="1" customWidth="1"/>
    <col min="9" max="9" width="13.5546875" style="1" bestFit="1" customWidth="1"/>
    <col min="10" max="10" width="13.33203125" style="2" customWidth="1"/>
    <col min="11" max="11" width="13.33203125" style="3" customWidth="1"/>
    <col min="12" max="12" width="5" style="3" hidden="1" customWidth="1"/>
    <col min="13" max="14" width="14.5546875" style="1" hidden="1" customWidth="1"/>
    <col min="15" max="15" width="12.88671875" style="1" hidden="1" customWidth="1"/>
    <col min="16" max="16" width="0" style="1" hidden="1" customWidth="1"/>
    <col min="17" max="17" width="10.5546875" style="1" bestFit="1" customWidth="1"/>
    <col min="18" max="16384" width="9.109375" style="1"/>
  </cols>
  <sheetData>
    <row r="2" spans="2:15" ht="24" x14ac:dyDescent="0.45">
      <c r="E2" s="32" t="s">
        <v>0</v>
      </c>
    </row>
    <row r="3" spans="2:15" ht="24" x14ac:dyDescent="0.45">
      <c r="E3" s="32" t="s">
        <v>1</v>
      </c>
    </row>
    <row r="5" spans="2:15" ht="14.25" x14ac:dyDescent="0.3">
      <c r="B5" s="57" t="s">
        <v>229</v>
      </c>
      <c r="C5" s="57"/>
      <c r="D5" s="57"/>
      <c r="E5" s="57"/>
      <c r="F5" s="57"/>
      <c r="G5" s="57"/>
      <c r="H5" s="57"/>
      <c r="I5" s="57"/>
      <c r="J5" s="57"/>
      <c r="K5" s="57"/>
      <c r="L5" s="52"/>
    </row>
    <row r="6" spans="2:15" x14ac:dyDescent="0.3">
      <c r="B6" s="57" t="s">
        <v>2</v>
      </c>
      <c r="C6" s="57"/>
      <c r="D6" s="57"/>
      <c r="E6" s="57"/>
      <c r="F6" s="57"/>
      <c r="G6" s="57"/>
      <c r="H6" s="57"/>
      <c r="I6" s="57"/>
      <c r="J6" s="57"/>
      <c r="K6" s="57"/>
      <c r="L6" s="52"/>
    </row>
    <row r="8" spans="2:15" ht="14.25" x14ac:dyDescent="0.3">
      <c r="B8" s="4" t="s">
        <v>3</v>
      </c>
    </row>
    <row r="9" spans="2:15" ht="14.4" x14ac:dyDescent="0.35">
      <c r="B9" s="4" t="s">
        <v>4</v>
      </c>
    </row>
    <row r="10" spans="2:15" ht="14.25" x14ac:dyDescent="0.3">
      <c r="D10" s="1" t="s">
        <v>5</v>
      </c>
      <c r="J10" s="2" t="s">
        <v>7</v>
      </c>
      <c r="K10" s="3" t="s">
        <v>8</v>
      </c>
      <c r="M10" s="52" t="s">
        <v>227</v>
      </c>
      <c r="N10" s="52" t="s">
        <v>228</v>
      </c>
      <c r="O10" s="52"/>
    </row>
    <row r="11" spans="2:15" x14ac:dyDescent="0.3">
      <c r="D11" s="1" t="s">
        <v>6</v>
      </c>
      <c r="J11" s="2" t="s">
        <v>9</v>
      </c>
    </row>
    <row r="12" spans="2:15" x14ac:dyDescent="0.3">
      <c r="D12" s="1" t="s">
        <v>10</v>
      </c>
      <c r="J12" s="2" t="s">
        <v>9</v>
      </c>
    </row>
    <row r="13" spans="2:15" ht="14.4" x14ac:dyDescent="0.35">
      <c r="D13" s="4" t="s">
        <v>11</v>
      </c>
      <c r="E13" s="4"/>
      <c r="F13" s="4"/>
      <c r="G13" s="4"/>
      <c r="H13" s="4"/>
      <c r="I13" s="4"/>
      <c r="J13" s="5" t="s">
        <v>12</v>
      </c>
      <c r="K13" s="6"/>
      <c r="L13" s="6"/>
    </row>
    <row r="14" spans="2:15" ht="14.25" x14ac:dyDescent="0.3">
      <c r="D14" s="4" t="s">
        <v>13</v>
      </c>
      <c r="J14" s="5" t="s">
        <v>7</v>
      </c>
      <c r="K14" s="6" t="s">
        <v>8</v>
      </c>
      <c r="L14" s="6"/>
    </row>
    <row r="15" spans="2:15" x14ac:dyDescent="0.3">
      <c r="D15" s="1" t="s">
        <v>20</v>
      </c>
      <c r="J15" s="2" t="s">
        <v>14</v>
      </c>
      <c r="K15" s="45"/>
      <c r="L15" s="45"/>
    </row>
    <row r="16" spans="2:15" x14ac:dyDescent="0.3">
      <c r="D16" s="1" t="s">
        <v>15</v>
      </c>
      <c r="J16" s="2" t="s">
        <v>14</v>
      </c>
      <c r="K16" s="45"/>
      <c r="L16" s="45"/>
    </row>
    <row r="17" spans="3:12" ht="24" customHeight="1" x14ac:dyDescent="0.3">
      <c r="C17" s="7"/>
      <c r="D17" s="58" t="s">
        <v>16</v>
      </c>
      <c r="E17" s="58"/>
      <c r="F17" s="58"/>
      <c r="G17" s="58"/>
      <c r="H17" s="58"/>
      <c r="I17" s="53"/>
      <c r="J17" s="2" t="s">
        <v>17</v>
      </c>
      <c r="K17" s="46"/>
      <c r="L17" s="46"/>
    </row>
    <row r="18" spans="3:12" x14ac:dyDescent="0.3">
      <c r="D18" s="7" t="s">
        <v>19</v>
      </c>
      <c r="E18" s="8"/>
      <c r="F18" s="8"/>
      <c r="G18" s="8"/>
      <c r="H18" s="8"/>
      <c r="I18" s="8"/>
      <c r="J18" s="2" t="s">
        <v>18</v>
      </c>
      <c r="K18" s="9"/>
      <c r="L18" s="9"/>
    </row>
    <row r="19" spans="3:12" ht="14.25" x14ac:dyDescent="0.3">
      <c r="D19" s="1" t="s">
        <v>21</v>
      </c>
      <c r="J19" s="2" t="s">
        <v>17</v>
      </c>
      <c r="K19" s="10"/>
      <c r="L19" s="10"/>
    </row>
    <row r="20" spans="3:12" x14ac:dyDescent="0.3">
      <c r="D20" s="1" t="s">
        <v>22</v>
      </c>
      <c r="J20" s="2" t="s">
        <v>18</v>
      </c>
      <c r="K20" s="9"/>
      <c r="L20" s="9"/>
    </row>
    <row r="21" spans="3:12" x14ac:dyDescent="0.3">
      <c r="D21" s="1" t="s">
        <v>23</v>
      </c>
      <c r="J21" s="2" t="s">
        <v>18</v>
      </c>
      <c r="K21" s="9"/>
      <c r="L21" s="9"/>
    </row>
    <row r="22" spans="3:12" ht="14.25" x14ac:dyDescent="0.3">
      <c r="D22" s="1" t="s">
        <v>24</v>
      </c>
      <c r="J22" s="2" t="s">
        <v>17</v>
      </c>
      <c r="K22" s="10"/>
      <c r="L22" s="10"/>
    </row>
    <row r="23" spans="3:12" x14ac:dyDescent="0.3">
      <c r="D23" s="1" t="s">
        <v>25</v>
      </c>
      <c r="J23" s="2" t="s">
        <v>18</v>
      </c>
      <c r="K23" s="11"/>
      <c r="L23" s="11"/>
    </row>
    <row r="24" spans="3:12" x14ac:dyDescent="0.3">
      <c r="D24" s="1" t="s">
        <v>27</v>
      </c>
      <c r="J24" s="2" t="s">
        <v>18</v>
      </c>
      <c r="K24" s="11"/>
      <c r="L24" s="11"/>
    </row>
    <row r="25" spans="3:12" x14ac:dyDescent="0.3">
      <c r="D25" s="1" t="s">
        <v>26</v>
      </c>
      <c r="J25" s="2" t="s">
        <v>17</v>
      </c>
      <c r="K25" s="10"/>
      <c r="L25" s="10"/>
    </row>
    <row r="26" spans="3:12" x14ac:dyDescent="0.3">
      <c r="D26" s="1" t="s">
        <v>28</v>
      </c>
      <c r="J26" s="2" t="s">
        <v>18</v>
      </c>
      <c r="K26" s="11"/>
      <c r="L26" s="11"/>
    </row>
    <row r="27" spans="3:12" x14ac:dyDescent="0.3">
      <c r="D27" s="1" t="s">
        <v>29</v>
      </c>
      <c r="J27" s="2" t="s">
        <v>17</v>
      </c>
      <c r="K27" s="10"/>
      <c r="L27" s="10"/>
    </row>
    <row r="28" spans="3:12" x14ac:dyDescent="0.3">
      <c r="D28" s="1" t="s">
        <v>30</v>
      </c>
      <c r="J28" s="2" t="s">
        <v>18</v>
      </c>
      <c r="K28" s="11"/>
      <c r="L28" s="11"/>
    </row>
    <row r="29" spans="3:12" x14ac:dyDescent="0.3">
      <c r="D29" s="1" t="s">
        <v>31</v>
      </c>
      <c r="J29" s="2" t="s">
        <v>18</v>
      </c>
      <c r="K29" s="11"/>
      <c r="L29" s="11"/>
    </row>
    <row r="30" spans="3:12" x14ac:dyDescent="0.3">
      <c r="D30" s="1" t="s">
        <v>32</v>
      </c>
      <c r="J30" s="2" t="s">
        <v>18</v>
      </c>
      <c r="K30" s="11"/>
      <c r="L30" s="11"/>
    </row>
    <row r="31" spans="3:12" x14ac:dyDescent="0.3">
      <c r="D31" s="1" t="s">
        <v>33</v>
      </c>
      <c r="J31" s="2" t="s">
        <v>18</v>
      </c>
      <c r="K31" s="11"/>
      <c r="L31" s="11"/>
    </row>
    <row r="32" spans="3:12" x14ac:dyDescent="0.3">
      <c r="D32" s="1" t="s">
        <v>34</v>
      </c>
      <c r="J32" s="2" t="s">
        <v>18</v>
      </c>
      <c r="K32" s="11"/>
      <c r="L32" s="11"/>
    </row>
    <row r="33" spans="4:12" x14ac:dyDescent="0.3">
      <c r="D33" s="1" t="s">
        <v>35</v>
      </c>
      <c r="J33" s="2" t="s">
        <v>18</v>
      </c>
      <c r="K33" s="11"/>
      <c r="L33" s="11"/>
    </row>
    <row r="34" spans="4:12" x14ac:dyDescent="0.3">
      <c r="D34" s="1" t="s">
        <v>36</v>
      </c>
      <c r="J34" s="2" t="s">
        <v>18</v>
      </c>
      <c r="K34" s="11"/>
      <c r="L34" s="11"/>
    </row>
    <row r="35" spans="4:12" x14ac:dyDescent="0.3">
      <c r="D35" s="1" t="s">
        <v>37</v>
      </c>
    </row>
    <row r="36" spans="4:12" x14ac:dyDescent="0.3">
      <c r="D36" s="1" t="s">
        <v>38</v>
      </c>
    </row>
    <row r="37" spans="4:12" x14ac:dyDescent="0.3">
      <c r="D37" s="1" t="s">
        <v>41</v>
      </c>
      <c r="J37" s="2" t="s">
        <v>17</v>
      </c>
      <c r="K37" s="10"/>
      <c r="L37" s="10"/>
    </row>
    <row r="38" spans="4:12" x14ac:dyDescent="0.3">
      <c r="D38" s="1" t="s">
        <v>39</v>
      </c>
      <c r="J38" s="2" t="s">
        <v>17</v>
      </c>
      <c r="K38" s="10"/>
      <c r="L38" s="10"/>
    </row>
    <row r="39" spans="4:12" x14ac:dyDescent="0.3">
      <c r="D39" s="1" t="s">
        <v>40</v>
      </c>
      <c r="J39" s="2" t="s">
        <v>17</v>
      </c>
      <c r="K39" s="10"/>
      <c r="L39" s="10"/>
    </row>
    <row r="40" spans="4:12" x14ac:dyDescent="0.3">
      <c r="D40" s="1" t="s">
        <v>42</v>
      </c>
      <c r="J40" s="2" t="s">
        <v>17</v>
      </c>
      <c r="K40" s="10"/>
      <c r="L40" s="10"/>
    </row>
    <row r="41" spans="4:12" x14ac:dyDescent="0.3">
      <c r="D41" s="1" t="s">
        <v>43</v>
      </c>
      <c r="J41" s="2" t="s">
        <v>17</v>
      </c>
      <c r="K41" s="10"/>
      <c r="L41" s="10"/>
    </row>
    <row r="42" spans="4:12" x14ac:dyDescent="0.3">
      <c r="D42" s="1" t="s">
        <v>44</v>
      </c>
      <c r="J42" s="2" t="s">
        <v>17</v>
      </c>
      <c r="K42" s="10"/>
      <c r="L42" s="10"/>
    </row>
    <row r="43" spans="4:12" x14ac:dyDescent="0.3">
      <c r="D43" s="1" t="s">
        <v>45</v>
      </c>
      <c r="J43" s="2" t="s">
        <v>17</v>
      </c>
      <c r="K43" s="10"/>
      <c r="L43" s="10"/>
    </row>
    <row r="44" spans="4:12" x14ac:dyDescent="0.3">
      <c r="D44" s="1" t="s">
        <v>46</v>
      </c>
      <c r="J44" s="2" t="s">
        <v>17</v>
      </c>
      <c r="K44" s="10"/>
      <c r="L44" s="10"/>
    </row>
    <row r="45" spans="4:12" x14ac:dyDescent="0.3">
      <c r="D45" s="1" t="s">
        <v>47</v>
      </c>
      <c r="J45" s="2" t="s">
        <v>17</v>
      </c>
      <c r="K45" s="10"/>
      <c r="L45" s="10"/>
    </row>
    <row r="46" spans="4:12" x14ac:dyDescent="0.3">
      <c r="D46" s="1" t="s">
        <v>48</v>
      </c>
    </row>
    <row r="47" spans="4:12" x14ac:dyDescent="0.3">
      <c r="D47" s="1" t="s">
        <v>49</v>
      </c>
      <c r="H47" s="2"/>
      <c r="I47" s="2"/>
      <c r="J47" s="2" t="s">
        <v>17</v>
      </c>
      <c r="K47" s="10"/>
      <c r="L47" s="10"/>
    </row>
    <row r="48" spans="4:12" x14ac:dyDescent="0.3">
      <c r="D48" s="1" t="s">
        <v>50</v>
      </c>
      <c r="H48" s="2"/>
      <c r="I48" s="2"/>
      <c r="J48" s="2" t="s">
        <v>17</v>
      </c>
      <c r="K48" s="10"/>
      <c r="L48" s="10"/>
    </row>
    <row r="49" spans="3:12" x14ac:dyDescent="0.3">
      <c r="D49" s="1" t="s">
        <v>51</v>
      </c>
      <c r="J49" s="2" t="s">
        <v>17</v>
      </c>
      <c r="K49" s="10"/>
      <c r="L49" s="10"/>
    </row>
    <row r="50" spans="3:12" x14ac:dyDescent="0.3">
      <c r="D50" s="1" t="s">
        <v>52</v>
      </c>
      <c r="J50" s="2" t="s">
        <v>17</v>
      </c>
      <c r="K50" s="10"/>
      <c r="L50" s="10"/>
    </row>
    <row r="51" spans="3:12" x14ac:dyDescent="0.3">
      <c r="D51" s="1" t="s">
        <v>53</v>
      </c>
      <c r="J51" s="2" t="s">
        <v>17</v>
      </c>
      <c r="K51" s="10"/>
      <c r="L51" s="10"/>
    </row>
    <row r="52" spans="3:12" x14ac:dyDescent="0.3">
      <c r="D52" s="1" t="s">
        <v>54</v>
      </c>
      <c r="J52" s="2" t="s">
        <v>17</v>
      </c>
      <c r="K52" s="10"/>
      <c r="L52" s="10"/>
    </row>
    <row r="53" spans="3:12" x14ac:dyDescent="0.3">
      <c r="D53" s="1" t="s">
        <v>55</v>
      </c>
      <c r="J53" s="2" t="s">
        <v>17</v>
      </c>
      <c r="K53" s="10"/>
      <c r="L53" s="10"/>
    </row>
    <row r="54" spans="3:12" x14ac:dyDescent="0.3">
      <c r="D54" s="1" t="s">
        <v>56</v>
      </c>
      <c r="J54" s="2" t="s">
        <v>17</v>
      </c>
      <c r="K54" s="10"/>
      <c r="L54" s="10"/>
    </row>
    <row r="55" spans="3:12" x14ac:dyDescent="0.3">
      <c r="D55" s="1" t="s">
        <v>57</v>
      </c>
      <c r="J55" s="2" t="s">
        <v>17</v>
      </c>
      <c r="K55" s="10"/>
      <c r="L55" s="10"/>
    </row>
    <row r="56" spans="3:12" x14ac:dyDescent="0.3">
      <c r="D56" s="1" t="s">
        <v>58</v>
      </c>
    </row>
    <row r="57" spans="3:12" x14ac:dyDescent="0.3">
      <c r="D57" s="1" t="s">
        <v>59</v>
      </c>
      <c r="J57" s="2" t="s">
        <v>17</v>
      </c>
      <c r="K57" s="10"/>
      <c r="L57" s="10"/>
    </row>
    <row r="58" spans="3:12" x14ac:dyDescent="0.3">
      <c r="D58" s="1" t="s">
        <v>60</v>
      </c>
      <c r="J58" s="2" t="s">
        <v>17</v>
      </c>
      <c r="K58" s="10"/>
      <c r="L58" s="10"/>
    </row>
    <row r="59" spans="3:12" ht="27" customHeight="1" x14ac:dyDescent="0.3">
      <c r="C59" s="7"/>
      <c r="D59" s="58" t="s">
        <v>61</v>
      </c>
      <c r="E59" s="58"/>
      <c r="F59" s="58"/>
      <c r="G59" s="58"/>
      <c r="H59" s="58"/>
      <c r="I59" s="53"/>
      <c r="J59" s="2" t="s">
        <v>17</v>
      </c>
      <c r="K59" s="10"/>
      <c r="L59" s="10"/>
    </row>
    <row r="60" spans="3:12" x14ac:dyDescent="0.3">
      <c r="D60" s="1" t="s">
        <v>62</v>
      </c>
      <c r="J60" s="2" t="s">
        <v>17</v>
      </c>
      <c r="K60" s="10"/>
      <c r="L60" s="10"/>
    </row>
    <row r="61" spans="3:12" x14ac:dyDescent="0.3">
      <c r="D61" s="1" t="s">
        <v>63</v>
      </c>
      <c r="J61" s="2" t="s">
        <v>17</v>
      </c>
      <c r="K61" s="10"/>
      <c r="L61" s="10"/>
    </row>
    <row r="62" spans="3:12" x14ac:dyDescent="0.3">
      <c r="D62" s="1" t="s">
        <v>64</v>
      </c>
      <c r="J62" s="2" t="s">
        <v>17</v>
      </c>
      <c r="K62" s="10"/>
      <c r="L62" s="10"/>
    </row>
    <row r="63" spans="3:12" x14ac:dyDescent="0.3">
      <c r="D63" s="1" t="s">
        <v>65</v>
      </c>
      <c r="J63" s="2" t="s">
        <v>17</v>
      </c>
      <c r="K63" s="10"/>
      <c r="L63" s="10"/>
    </row>
    <row r="64" spans="3:12" x14ac:dyDescent="0.3">
      <c r="D64" s="1" t="s">
        <v>66</v>
      </c>
      <c r="K64" s="10"/>
      <c r="L64" s="10"/>
    </row>
    <row r="65" spans="3:15" x14ac:dyDescent="0.3">
      <c r="D65" s="1" t="s">
        <v>67</v>
      </c>
      <c r="J65" s="2" t="s">
        <v>17</v>
      </c>
      <c r="K65" s="10"/>
      <c r="L65" s="10"/>
    </row>
    <row r="66" spans="3:15" x14ac:dyDescent="0.3">
      <c r="D66" s="1" t="s">
        <v>68</v>
      </c>
      <c r="J66" s="2" t="s">
        <v>17</v>
      </c>
      <c r="K66" s="10"/>
      <c r="L66" s="10"/>
    </row>
    <row r="67" spans="3:15" x14ac:dyDescent="0.3">
      <c r="D67" s="1" t="s">
        <v>69</v>
      </c>
    </row>
    <row r="68" spans="3:15" x14ac:dyDescent="0.3">
      <c r="D68" s="1" t="s">
        <v>70</v>
      </c>
      <c r="J68" s="2" t="s">
        <v>17</v>
      </c>
      <c r="K68" s="10"/>
      <c r="L68" s="10"/>
    </row>
    <row r="69" spans="3:15" ht="26.25" customHeight="1" x14ac:dyDescent="0.3">
      <c r="C69" s="7"/>
      <c r="D69" s="58" t="s">
        <v>71</v>
      </c>
      <c r="E69" s="58"/>
      <c r="F69" s="58"/>
      <c r="G69" s="58"/>
      <c r="H69" s="58"/>
      <c r="I69" s="53"/>
      <c r="J69" s="2" t="s">
        <v>17</v>
      </c>
      <c r="K69" s="10"/>
      <c r="L69" s="10"/>
    </row>
    <row r="70" spans="3:15" x14ac:dyDescent="0.3">
      <c r="D70" s="1" t="s">
        <v>72</v>
      </c>
      <c r="J70" s="2" t="s">
        <v>17</v>
      </c>
      <c r="K70" s="10"/>
      <c r="L70" s="10"/>
    </row>
    <row r="71" spans="3:15" x14ac:dyDescent="0.3">
      <c r="D71" s="1" t="s">
        <v>73</v>
      </c>
      <c r="J71" s="2" t="s">
        <v>17</v>
      </c>
      <c r="K71" s="10"/>
      <c r="L71" s="10"/>
    </row>
    <row r="72" spans="3:15" x14ac:dyDescent="0.3">
      <c r="D72" s="1" t="s">
        <v>74</v>
      </c>
      <c r="K72" s="10"/>
      <c r="L72" s="10"/>
    </row>
    <row r="73" spans="3:15" ht="27.75" customHeight="1" x14ac:dyDescent="0.3">
      <c r="C73" s="7"/>
      <c r="D73" s="58" t="s">
        <v>75</v>
      </c>
      <c r="E73" s="58"/>
      <c r="F73" s="58"/>
      <c r="G73" s="58"/>
      <c r="H73" s="58"/>
      <c r="I73" s="53"/>
      <c r="J73" s="2" t="s">
        <v>17</v>
      </c>
      <c r="K73" s="10"/>
      <c r="L73" s="10"/>
    </row>
    <row r="74" spans="3:15" x14ac:dyDescent="0.3">
      <c r="D74" s="1" t="s">
        <v>76</v>
      </c>
      <c r="J74" s="2" t="s">
        <v>17</v>
      </c>
      <c r="K74" s="10"/>
      <c r="L74" s="10"/>
    </row>
    <row r="75" spans="3:15" x14ac:dyDescent="0.3">
      <c r="D75" s="1" t="s">
        <v>77</v>
      </c>
      <c r="J75" s="2" t="s">
        <v>17</v>
      </c>
      <c r="K75" s="10"/>
      <c r="L75" s="10"/>
    </row>
    <row r="76" spans="3:15" ht="14.4" x14ac:dyDescent="0.35">
      <c r="D76" s="4" t="s">
        <v>78</v>
      </c>
    </row>
    <row r="77" spans="3:15" x14ac:dyDescent="0.3">
      <c r="D77" s="1" t="s">
        <v>79</v>
      </c>
      <c r="J77" s="2" t="s">
        <v>7</v>
      </c>
      <c r="K77" s="3" t="s">
        <v>8</v>
      </c>
    </row>
    <row r="78" spans="3:15" x14ac:dyDescent="0.3">
      <c r="D78" s="1" t="s">
        <v>82</v>
      </c>
      <c r="J78" s="2" t="s">
        <v>191</v>
      </c>
      <c r="K78" s="11"/>
      <c r="L78" s="11"/>
      <c r="M78" s="13">
        <f>K78/8.61*5.35</f>
        <v>0</v>
      </c>
      <c r="N78" s="13">
        <f>K78/8.61*3.26</f>
        <v>0</v>
      </c>
      <c r="O78" s="13">
        <v>5.32</v>
      </c>
    </row>
    <row r="79" spans="3:15" x14ac:dyDescent="0.3">
      <c r="D79" s="1" t="s">
        <v>80</v>
      </c>
      <c r="J79" s="2" t="s">
        <v>191</v>
      </c>
      <c r="K79" s="11"/>
      <c r="L79" s="11"/>
      <c r="M79" s="13">
        <f>K79/8.61*5.35</f>
        <v>0</v>
      </c>
      <c r="N79" s="13">
        <f>K79/8.61*3.26</f>
        <v>0</v>
      </c>
      <c r="O79" s="13">
        <v>3.26</v>
      </c>
    </row>
    <row r="80" spans="3:15" x14ac:dyDescent="0.3">
      <c r="D80" s="1" t="s">
        <v>81</v>
      </c>
      <c r="J80" s="2" t="s">
        <v>191</v>
      </c>
      <c r="K80" s="11"/>
      <c r="L80" s="11"/>
      <c r="M80" s="13">
        <f>K80/O80*O78</f>
        <v>0</v>
      </c>
      <c r="N80" s="13">
        <f>K80/O80*O79</f>
        <v>0</v>
      </c>
      <c r="O80" s="13">
        <f>O78+O79</f>
        <v>8.58</v>
      </c>
    </row>
    <row r="81" spans="4:15" x14ac:dyDescent="0.3">
      <c r="D81" s="1" t="s">
        <v>83</v>
      </c>
      <c r="J81" s="2" t="s">
        <v>191</v>
      </c>
      <c r="K81" s="11"/>
      <c r="L81" s="11"/>
      <c r="M81" s="13">
        <v>3518.91</v>
      </c>
      <c r="N81" s="13"/>
      <c r="O81" s="13"/>
    </row>
    <row r="82" spans="4:15" x14ac:dyDescent="0.3">
      <c r="D82" s="1" t="s">
        <v>80</v>
      </c>
      <c r="J82" s="2" t="s">
        <v>191</v>
      </c>
      <c r="K82" s="11"/>
      <c r="L82" s="11"/>
      <c r="M82" s="13">
        <v>1407.56</v>
      </c>
      <c r="N82" s="13"/>
      <c r="O82" s="13"/>
    </row>
    <row r="83" spans="4:15" x14ac:dyDescent="0.3">
      <c r="D83" s="1" t="s">
        <v>81</v>
      </c>
      <c r="J83" s="2" t="s">
        <v>191</v>
      </c>
      <c r="K83" s="11"/>
      <c r="L83" s="11"/>
      <c r="M83" s="13">
        <v>124.75</v>
      </c>
      <c r="N83" s="13"/>
      <c r="O83" s="13"/>
    </row>
    <row r="84" spans="4:15" x14ac:dyDescent="0.3">
      <c r="D84" s="1" t="s">
        <v>84</v>
      </c>
      <c r="J84" s="2" t="s">
        <v>191</v>
      </c>
      <c r="K84" s="11"/>
      <c r="L84" s="11"/>
      <c r="M84" s="13">
        <f>M81+M82+M83+M80+M79+M78</f>
        <v>5051.2199999999993</v>
      </c>
      <c r="N84" s="13">
        <f>N80+N79+N78</f>
        <v>0</v>
      </c>
      <c r="O84" s="13"/>
    </row>
    <row r="85" spans="4:15" ht="14.4" x14ac:dyDescent="0.35">
      <c r="D85" s="4" t="s">
        <v>85</v>
      </c>
      <c r="J85" s="5" t="s">
        <v>191</v>
      </c>
      <c r="K85" s="14"/>
      <c r="L85" s="14"/>
      <c r="M85" s="47">
        <f>M84*K17</f>
        <v>0</v>
      </c>
      <c r="N85" s="47">
        <f>N84*K17</f>
        <v>0</v>
      </c>
      <c r="O85" s="47"/>
    </row>
    <row r="86" spans="4:15" x14ac:dyDescent="0.3">
      <c r="D86" s="1" t="s">
        <v>86</v>
      </c>
    </row>
    <row r="87" spans="4:15" x14ac:dyDescent="0.3">
      <c r="D87" s="1" t="s">
        <v>87</v>
      </c>
      <c r="J87" s="2" t="s">
        <v>191</v>
      </c>
      <c r="K87" s="11"/>
      <c r="L87" s="11"/>
      <c r="M87" s="13">
        <f>M85*$K$75</f>
        <v>0</v>
      </c>
      <c r="N87" s="13">
        <f>N85*$K$75+0.01</f>
        <v>0.01</v>
      </c>
      <c r="O87" s="13"/>
    </row>
    <row r="88" spans="4:15" ht="14.4" x14ac:dyDescent="0.35">
      <c r="D88" s="4" t="s">
        <v>88</v>
      </c>
      <c r="J88" s="5" t="s">
        <v>191</v>
      </c>
      <c r="K88" s="14"/>
      <c r="L88" s="14"/>
      <c r="M88" s="47">
        <f>M87</f>
        <v>0</v>
      </c>
      <c r="N88" s="47">
        <f>N87</f>
        <v>0.01</v>
      </c>
    </row>
    <row r="89" spans="4:15" x14ac:dyDescent="0.3">
      <c r="D89" s="1" t="s">
        <v>89</v>
      </c>
    </row>
    <row r="90" spans="4:15" x14ac:dyDescent="0.3">
      <c r="D90" s="1" t="s">
        <v>82</v>
      </c>
      <c r="J90" s="2" t="s">
        <v>191</v>
      </c>
      <c r="K90" s="11"/>
      <c r="L90" s="11"/>
      <c r="N90" s="13">
        <f>K90+K91</f>
        <v>0</v>
      </c>
    </row>
    <row r="91" spans="4:15" x14ac:dyDescent="0.3">
      <c r="D91" s="1" t="s">
        <v>90</v>
      </c>
      <c r="J91" s="2" t="s">
        <v>191</v>
      </c>
      <c r="K91" s="11"/>
      <c r="L91" s="11"/>
    </row>
    <row r="92" spans="4:15" x14ac:dyDescent="0.3">
      <c r="D92" s="1" t="s">
        <v>83</v>
      </c>
      <c r="J92" s="2" t="s">
        <v>191</v>
      </c>
      <c r="K92" s="11"/>
      <c r="L92" s="11"/>
      <c r="M92" s="13">
        <f>K92+K93</f>
        <v>0</v>
      </c>
    </row>
    <row r="93" spans="4:15" x14ac:dyDescent="0.3">
      <c r="D93" s="1" t="s">
        <v>90</v>
      </c>
      <c r="J93" s="2" t="s">
        <v>191</v>
      </c>
      <c r="K93" s="11"/>
      <c r="L93" s="11"/>
    </row>
    <row r="94" spans="4:15" ht="14.4" x14ac:dyDescent="0.35">
      <c r="D94" s="4" t="s">
        <v>91</v>
      </c>
      <c r="J94" s="5" t="s">
        <v>191</v>
      </c>
      <c r="K94" s="14"/>
      <c r="L94" s="14"/>
      <c r="M94" s="13">
        <f>M92</f>
        <v>0</v>
      </c>
      <c r="N94" s="13">
        <f>N90</f>
        <v>0</v>
      </c>
    </row>
    <row r="95" spans="4:15" x14ac:dyDescent="0.3">
      <c r="D95" s="1" t="s">
        <v>92</v>
      </c>
    </row>
    <row r="96" spans="4:15" x14ac:dyDescent="0.3">
      <c r="D96" s="1" t="s">
        <v>82</v>
      </c>
      <c r="J96" s="2" t="s">
        <v>191</v>
      </c>
      <c r="K96" s="11"/>
      <c r="L96" s="11"/>
      <c r="N96" s="13">
        <f>K96+K97</f>
        <v>0</v>
      </c>
    </row>
    <row r="97" spans="4:14" x14ac:dyDescent="0.3">
      <c r="D97" s="1" t="s">
        <v>93</v>
      </c>
      <c r="J97" s="2" t="s">
        <v>191</v>
      </c>
      <c r="K97" s="11"/>
      <c r="L97" s="11"/>
    </row>
    <row r="98" spans="4:14" x14ac:dyDescent="0.3">
      <c r="D98" s="1" t="s">
        <v>83</v>
      </c>
      <c r="J98" s="2" t="s">
        <v>191</v>
      </c>
      <c r="K98" s="11"/>
      <c r="L98" s="11"/>
      <c r="M98" s="13">
        <f>K98+K99</f>
        <v>0</v>
      </c>
    </row>
    <row r="99" spans="4:14" x14ac:dyDescent="0.3">
      <c r="D99" s="1" t="s">
        <v>93</v>
      </c>
      <c r="J99" s="2" t="s">
        <v>191</v>
      </c>
      <c r="K99" s="11"/>
      <c r="L99" s="11"/>
    </row>
    <row r="100" spans="4:14" ht="14.4" x14ac:dyDescent="0.35">
      <c r="D100" s="4" t="s">
        <v>94</v>
      </c>
      <c r="J100" s="5" t="s">
        <v>191</v>
      </c>
      <c r="K100" s="14"/>
      <c r="L100" s="14"/>
      <c r="M100" s="13">
        <f>M98</f>
        <v>0</v>
      </c>
      <c r="N100" s="13">
        <f>N96</f>
        <v>0</v>
      </c>
    </row>
    <row r="101" spans="4:14" x14ac:dyDescent="0.3">
      <c r="D101" s="1" t="s">
        <v>95</v>
      </c>
      <c r="I101" s="12" t="s">
        <v>195</v>
      </c>
      <c r="J101" s="2" t="s">
        <v>7</v>
      </c>
      <c r="K101" s="3" t="s">
        <v>8</v>
      </c>
    </row>
    <row r="102" spans="4:14" x14ac:dyDescent="0.3">
      <c r="D102" s="1" t="s">
        <v>82</v>
      </c>
    </row>
    <row r="103" spans="4:14" x14ac:dyDescent="0.3">
      <c r="D103" s="1" t="s">
        <v>96</v>
      </c>
      <c r="I103" s="1" t="s">
        <v>192</v>
      </c>
      <c r="J103" s="2" t="s">
        <v>193</v>
      </c>
      <c r="K103" s="11"/>
      <c r="L103" s="11"/>
    </row>
    <row r="104" spans="4:14" x14ac:dyDescent="0.3">
      <c r="D104" s="1" t="s">
        <v>97</v>
      </c>
      <c r="I104" s="1" t="s">
        <v>192</v>
      </c>
      <c r="J104" s="2" t="s">
        <v>193</v>
      </c>
      <c r="K104" s="11"/>
      <c r="L104" s="11"/>
    </row>
    <row r="105" spans="4:14" x14ac:dyDescent="0.3">
      <c r="D105" s="1" t="s">
        <v>98</v>
      </c>
      <c r="I105" s="1" t="s">
        <v>192</v>
      </c>
      <c r="J105" s="2" t="s">
        <v>193</v>
      </c>
      <c r="K105" s="11"/>
      <c r="L105" s="11"/>
    </row>
    <row r="106" spans="4:14" x14ac:dyDescent="0.3">
      <c r="D106" s="1" t="s">
        <v>99</v>
      </c>
      <c r="J106" s="2" t="s">
        <v>191</v>
      </c>
      <c r="K106" s="11"/>
      <c r="L106" s="11"/>
      <c r="N106" s="13">
        <f>K106</f>
        <v>0</v>
      </c>
    </row>
    <row r="107" spans="4:14" x14ac:dyDescent="0.3">
      <c r="D107" s="1" t="s">
        <v>83</v>
      </c>
    </row>
    <row r="108" spans="4:14" x14ac:dyDescent="0.3">
      <c r="D108" s="1" t="s">
        <v>96</v>
      </c>
      <c r="I108" s="1" t="s">
        <v>230</v>
      </c>
      <c r="J108" s="2" t="s">
        <v>193</v>
      </c>
      <c r="K108" s="11"/>
      <c r="L108" s="11"/>
    </row>
    <row r="109" spans="4:14" x14ac:dyDescent="0.3">
      <c r="D109" s="1" t="s">
        <v>97</v>
      </c>
      <c r="I109" s="1" t="s">
        <v>230</v>
      </c>
      <c r="J109" s="2" t="s">
        <v>193</v>
      </c>
      <c r="K109" s="11"/>
      <c r="L109" s="11"/>
    </row>
    <row r="110" spans="4:14" x14ac:dyDescent="0.3">
      <c r="D110" s="1" t="s">
        <v>100</v>
      </c>
      <c r="I110" s="1" t="s">
        <v>230</v>
      </c>
      <c r="J110" s="2" t="s">
        <v>193</v>
      </c>
      <c r="K110" s="11"/>
      <c r="L110" s="11"/>
    </row>
    <row r="111" spans="4:14" x14ac:dyDescent="0.3">
      <c r="D111" s="1" t="s">
        <v>101</v>
      </c>
      <c r="I111" s="1" t="s">
        <v>230</v>
      </c>
      <c r="J111" s="2" t="s">
        <v>193</v>
      </c>
      <c r="K111" s="11"/>
      <c r="L111" s="11"/>
    </row>
    <row r="112" spans="4:14" x14ac:dyDescent="0.3">
      <c r="D112" s="1" t="s">
        <v>98</v>
      </c>
      <c r="I112" s="1" t="s">
        <v>230</v>
      </c>
      <c r="J112" s="2" t="s">
        <v>193</v>
      </c>
      <c r="K112" s="11"/>
      <c r="L112" s="11"/>
    </row>
    <row r="113" spans="4:14" x14ac:dyDescent="0.3">
      <c r="D113" s="1" t="s">
        <v>102</v>
      </c>
      <c r="I113" s="1" t="s">
        <v>230</v>
      </c>
      <c r="J113" s="2" t="s">
        <v>193</v>
      </c>
      <c r="K113" s="11"/>
      <c r="L113" s="11"/>
    </row>
    <row r="114" spans="4:14" x14ac:dyDescent="0.3">
      <c r="D114" s="1" t="s">
        <v>103</v>
      </c>
      <c r="I114" s="1" t="s">
        <v>231</v>
      </c>
      <c r="J114" s="2" t="s">
        <v>193</v>
      </c>
      <c r="K114" s="11"/>
      <c r="L114" s="11"/>
    </row>
    <row r="115" spans="4:14" x14ac:dyDescent="0.3">
      <c r="D115" s="1" t="s">
        <v>104</v>
      </c>
      <c r="J115" s="2" t="s">
        <v>191</v>
      </c>
      <c r="K115" s="11"/>
      <c r="L115" s="11"/>
      <c r="M115" s="13">
        <f>K115</f>
        <v>0</v>
      </c>
    </row>
    <row r="116" spans="4:14" ht="14.4" x14ac:dyDescent="0.35">
      <c r="D116" s="4" t="s">
        <v>105</v>
      </c>
      <c r="I116" s="4"/>
      <c r="J116" s="5" t="s">
        <v>191</v>
      </c>
      <c r="K116" s="14"/>
      <c r="L116" s="14"/>
      <c r="M116" s="13">
        <f>M115</f>
        <v>0</v>
      </c>
      <c r="N116" s="13">
        <f>N106</f>
        <v>0</v>
      </c>
    </row>
    <row r="117" spans="4:14" ht="14.4" x14ac:dyDescent="0.35">
      <c r="D117" s="4" t="s">
        <v>106</v>
      </c>
      <c r="I117" s="4"/>
      <c r="J117" s="5"/>
      <c r="K117" s="14"/>
      <c r="L117" s="14"/>
      <c r="M117" s="14">
        <f t="shared" ref="M117" si="0">M85+M88+M94+M116+M100</f>
        <v>0</v>
      </c>
      <c r="N117" s="14">
        <f>N85+N88+N94+N116+N100-0.01</f>
        <v>0</v>
      </c>
    </row>
    <row r="118" spans="4:14" ht="14.4" x14ac:dyDescent="0.35">
      <c r="D118" s="4" t="s">
        <v>107</v>
      </c>
      <c r="I118" s="4"/>
      <c r="J118" s="5"/>
      <c r="K118" s="6"/>
      <c r="L118" s="6"/>
    </row>
    <row r="119" spans="4:14" x14ac:dyDescent="0.3">
      <c r="D119" s="1" t="s">
        <v>108</v>
      </c>
      <c r="I119" s="12" t="s">
        <v>195</v>
      </c>
      <c r="J119" s="2" t="s">
        <v>7</v>
      </c>
      <c r="K119" s="3" t="s">
        <v>8</v>
      </c>
    </row>
    <row r="120" spans="4:14" x14ac:dyDescent="0.3">
      <c r="D120" s="1" t="s">
        <v>109</v>
      </c>
      <c r="J120" s="2" t="s">
        <v>191</v>
      </c>
      <c r="K120" s="11"/>
      <c r="L120" s="11"/>
      <c r="M120" s="11">
        <f t="shared" ref="M120:N120" si="1">M117</f>
        <v>0</v>
      </c>
      <c r="N120" s="11">
        <f t="shared" si="1"/>
        <v>0</v>
      </c>
    </row>
    <row r="121" spans="4:14" ht="14.4" x14ac:dyDescent="0.35">
      <c r="D121" s="4" t="s">
        <v>110</v>
      </c>
      <c r="I121" s="16">
        <v>0.01</v>
      </c>
      <c r="J121" s="5" t="s">
        <v>191</v>
      </c>
      <c r="K121" s="14"/>
      <c r="L121" s="14"/>
      <c r="M121" s="14">
        <f t="shared" ref="M121:N121" si="2">M120*$I$121</f>
        <v>0</v>
      </c>
      <c r="N121" s="14">
        <f t="shared" si="2"/>
        <v>0</v>
      </c>
    </row>
    <row r="122" spans="4:14" x14ac:dyDescent="0.3">
      <c r="D122" s="1" t="s">
        <v>111</v>
      </c>
    </row>
    <row r="123" spans="4:14" x14ac:dyDescent="0.3">
      <c r="D123" s="1" t="s">
        <v>112</v>
      </c>
      <c r="J123" s="2" t="s">
        <v>191</v>
      </c>
      <c r="K123" s="11"/>
      <c r="L123" s="11"/>
      <c r="M123" s="11">
        <f t="shared" ref="M123:N123" si="3">M120+M121</f>
        <v>0</v>
      </c>
      <c r="N123" s="11">
        <f t="shared" si="3"/>
        <v>0</v>
      </c>
    </row>
    <row r="124" spans="4:14" ht="14.4" x14ac:dyDescent="0.35">
      <c r="D124" s="4" t="s">
        <v>113</v>
      </c>
      <c r="I124" s="16">
        <v>0.05</v>
      </c>
      <c r="J124" s="5" t="s">
        <v>191</v>
      </c>
      <c r="K124" s="14"/>
      <c r="L124" s="14"/>
      <c r="M124" s="14">
        <f t="shared" ref="M124:N124" si="4">M123*$I$124</f>
        <v>0</v>
      </c>
      <c r="N124" s="14">
        <f t="shared" si="4"/>
        <v>0</v>
      </c>
    </row>
    <row r="125" spans="4:14" x14ac:dyDescent="0.3">
      <c r="D125" s="1" t="s">
        <v>114</v>
      </c>
    </row>
    <row r="126" spans="4:14" x14ac:dyDescent="0.3">
      <c r="D126" s="1" t="s">
        <v>115</v>
      </c>
      <c r="K126" s="11"/>
      <c r="L126" s="11"/>
      <c r="M126" s="11">
        <f t="shared" ref="M126:N126" si="5">M123+M124</f>
        <v>0</v>
      </c>
      <c r="N126" s="11">
        <f t="shared" si="5"/>
        <v>0</v>
      </c>
    </row>
    <row r="127" spans="4:14" x14ac:dyDescent="0.3">
      <c r="D127" s="1" t="s">
        <v>116</v>
      </c>
      <c r="I127" s="15">
        <v>0.03</v>
      </c>
      <c r="J127" s="2" t="s">
        <v>191</v>
      </c>
      <c r="K127" s="11"/>
      <c r="L127" s="11"/>
      <c r="M127" s="11">
        <f t="shared" ref="M127:N127" si="6">M126*$I$127</f>
        <v>0</v>
      </c>
      <c r="N127" s="11">
        <f t="shared" si="6"/>
        <v>0</v>
      </c>
    </row>
    <row r="128" spans="4:14" x14ac:dyDescent="0.3">
      <c r="D128" s="1" t="s">
        <v>117</v>
      </c>
      <c r="I128" s="15">
        <v>6.4999999999999997E-3</v>
      </c>
      <c r="J128" s="2" t="s">
        <v>191</v>
      </c>
      <c r="K128" s="11"/>
      <c r="L128" s="11"/>
      <c r="M128" s="11">
        <f t="shared" ref="M128:N128" si="7">M126*$I$128</f>
        <v>0</v>
      </c>
      <c r="N128" s="11">
        <f t="shared" si="7"/>
        <v>0</v>
      </c>
    </row>
    <row r="129" spans="1:14" x14ac:dyDescent="0.3">
      <c r="D129" s="1" t="s">
        <v>118</v>
      </c>
      <c r="I129" s="15">
        <v>0.02</v>
      </c>
      <c r="J129" s="2" t="s">
        <v>191</v>
      </c>
      <c r="K129" s="11"/>
      <c r="L129" s="11"/>
      <c r="M129" s="11">
        <f t="shared" ref="M129:N129" si="8">M126*$I$129</f>
        <v>0</v>
      </c>
      <c r="N129" s="11">
        <f t="shared" si="8"/>
        <v>0</v>
      </c>
    </row>
    <row r="130" spans="1:14" ht="14.4" x14ac:dyDescent="0.35">
      <c r="D130" s="4" t="s">
        <v>119</v>
      </c>
      <c r="E130" s="4"/>
      <c r="F130" s="4"/>
      <c r="G130" s="4"/>
      <c r="H130" s="4"/>
      <c r="I130" s="4"/>
      <c r="J130" s="5" t="s">
        <v>191</v>
      </c>
      <c r="K130" s="14"/>
      <c r="L130" s="14"/>
      <c r="M130" s="14">
        <f t="shared" ref="M130:N130" si="9">M127+M128+M129</f>
        <v>0</v>
      </c>
      <c r="N130" s="14">
        <f t="shared" si="9"/>
        <v>0</v>
      </c>
    </row>
    <row r="131" spans="1:14" ht="14.4" x14ac:dyDescent="0.35">
      <c r="D131" s="4" t="s">
        <v>120</v>
      </c>
      <c r="I131" s="16"/>
      <c r="J131" s="5" t="s">
        <v>191</v>
      </c>
      <c r="K131" s="14"/>
      <c r="L131" s="14"/>
      <c r="M131" s="14">
        <f t="shared" ref="M131:N131" si="10">M130+M124+M121</f>
        <v>0</v>
      </c>
      <c r="N131" s="14">
        <f t="shared" si="10"/>
        <v>0</v>
      </c>
    </row>
    <row r="132" spans="1:14" ht="14.4" x14ac:dyDescent="0.35">
      <c r="A132" s="25"/>
      <c r="B132" s="25"/>
      <c r="C132" s="25"/>
      <c r="D132" s="26" t="s">
        <v>121</v>
      </c>
      <c r="E132" s="25"/>
      <c r="F132" s="25"/>
      <c r="G132" s="25"/>
      <c r="H132" s="25"/>
      <c r="I132" s="26"/>
      <c r="J132" s="27" t="s">
        <v>191</v>
      </c>
      <c r="K132" s="28"/>
      <c r="L132" s="28"/>
      <c r="M132" s="28">
        <f t="shared" ref="M132:N132" si="11">M131+M117</f>
        <v>0</v>
      </c>
      <c r="N132" s="28">
        <f t="shared" si="11"/>
        <v>0</v>
      </c>
    </row>
    <row r="133" spans="1:14" ht="14.4" x14ac:dyDescent="0.35">
      <c r="B133" s="4" t="s">
        <v>122</v>
      </c>
      <c r="I133" s="15"/>
    </row>
    <row r="134" spans="1:14" ht="14.4" x14ac:dyDescent="0.35">
      <c r="D134" s="4" t="s">
        <v>5</v>
      </c>
    </row>
    <row r="135" spans="1:14" x14ac:dyDescent="0.3">
      <c r="D135" s="1" t="s">
        <v>124</v>
      </c>
      <c r="J135" s="2" t="s">
        <v>197</v>
      </c>
      <c r="K135" s="22"/>
      <c r="L135" s="22"/>
    </row>
    <row r="136" spans="1:14" x14ac:dyDescent="0.3">
      <c r="D136" s="1" t="s">
        <v>125</v>
      </c>
      <c r="J136" s="2" t="s">
        <v>226</v>
      </c>
    </row>
    <row r="137" spans="1:14" ht="14.4" x14ac:dyDescent="0.35">
      <c r="D137" s="4" t="s">
        <v>13</v>
      </c>
    </row>
    <row r="138" spans="1:14" x14ac:dyDescent="0.3">
      <c r="D138" s="1" t="s">
        <v>126</v>
      </c>
      <c r="J138" s="2" t="s">
        <v>198</v>
      </c>
      <c r="M138" s="3">
        <f>K138</f>
        <v>0</v>
      </c>
      <c r="N138" s="3">
        <f>M138</f>
        <v>0</v>
      </c>
    </row>
    <row r="139" spans="1:14" x14ac:dyDescent="0.3">
      <c r="D139" s="1" t="s">
        <v>127</v>
      </c>
      <c r="J139" s="2" t="s">
        <v>17</v>
      </c>
      <c r="K139" s="20"/>
      <c r="L139" s="20"/>
      <c r="M139" s="20">
        <f>K139</f>
        <v>0</v>
      </c>
      <c r="N139" s="20">
        <f>M139</f>
        <v>0</v>
      </c>
    </row>
    <row r="140" spans="1:14" x14ac:dyDescent="0.3">
      <c r="D140" s="1" t="s">
        <v>240</v>
      </c>
      <c r="J140" s="2" t="s">
        <v>199</v>
      </c>
      <c r="K140" s="23"/>
      <c r="L140" s="23"/>
      <c r="M140" s="23"/>
      <c r="N140" s="23">
        <v>3445.22</v>
      </c>
    </row>
    <row r="141" spans="1:14" x14ac:dyDescent="0.3">
      <c r="D141" s="1" t="s">
        <v>130</v>
      </c>
      <c r="J141" s="2" t="s">
        <v>204</v>
      </c>
      <c r="K141" s="11"/>
      <c r="L141" s="11"/>
      <c r="M141" s="11">
        <v>55428.78</v>
      </c>
      <c r="N141" s="11">
        <v>55428.78</v>
      </c>
    </row>
    <row r="142" spans="1:14" x14ac:dyDescent="0.3">
      <c r="D142" s="1" t="s">
        <v>205</v>
      </c>
      <c r="J142" s="2" t="s">
        <v>204</v>
      </c>
      <c r="K142" s="11"/>
      <c r="L142" s="11"/>
      <c r="M142" s="11">
        <v>21300</v>
      </c>
      <c r="N142" s="11">
        <v>21300</v>
      </c>
    </row>
    <row r="143" spans="1:14" x14ac:dyDescent="0.3">
      <c r="D143" s="1" t="s">
        <v>131</v>
      </c>
      <c r="J143" s="2" t="s">
        <v>206</v>
      </c>
      <c r="K143" s="11"/>
      <c r="L143" s="11"/>
      <c r="M143" s="11">
        <v>3.15</v>
      </c>
      <c r="N143" s="11">
        <v>3.15</v>
      </c>
    </row>
    <row r="144" spans="1:14" x14ac:dyDescent="0.3">
      <c r="D144" s="1" t="s">
        <v>132</v>
      </c>
      <c r="J144" s="2" t="s">
        <v>204</v>
      </c>
      <c r="K144" s="11"/>
      <c r="L144" s="11"/>
      <c r="M144" s="11">
        <v>1483.2</v>
      </c>
      <c r="N144" s="11">
        <v>1483.2</v>
      </c>
    </row>
    <row r="145" spans="4:14" x14ac:dyDescent="0.3">
      <c r="D145" s="1" t="s">
        <v>133</v>
      </c>
      <c r="J145" s="2" t="s">
        <v>204</v>
      </c>
      <c r="K145" s="11"/>
      <c r="L145" s="11"/>
      <c r="M145" s="11">
        <v>597.83000000000004</v>
      </c>
      <c r="N145" s="11">
        <v>597.83000000000004</v>
      </c>
    </row>
    <row r="146" spans="4:14" x14ac:dyDescent="0.3">
      <c r="D146" s="1" t="s">
        <v>134</v>
      </c>
      <c r="J146" s="2" t="s">
        <v>207</v>
      </c>
      <c r="K146" s="11"/>
      <c r="L146" s="11"/>
      <c r="M146" s="11">
        <v>71.08</v>
      </c>
      <c r="N146" s="11">
        <v>71.08</v>
      </c>
    </row>
    <row r="147" spans="4:14" x14ac:dyDescent="0.3">
      <c r="D147" s="1" t="s">
        <v>135</v>
      </c>
      <c r="J147" s="2" t="s">
        <v>207</v>
      </c>
      <c r="K147" s="11"/>
      <c r="L147" s="11"/>
      <c r="M147" s="11">
        <v>48.81</v>
      </c>
      <c r="N147" s="11">
        <v>48.81</v>
      </c>
    </row>
    <row r="148" spans="4:14" x14ac:dyDescent="0.3">
      <c r="D148" s="1" t="s">
        <v>136</v>
      </c>
      <c r="J148" s="2" t="s">
        <v>17</v>
      </c>
      <c r="K148" s="20"/>
      <c r="L148" s="20"/>
      <c r="M148" s="20">
        <v>0.01</v>
      </c>
      <c r="N148" s="20">
        <v>0.01</v>
      </c>
    </row>
    <row r="149" spans="4:14" x14ac:dyDescent="0.3">
      <c r="D149" s="1" t="s">
        <v>137</v>
      </c>
      <c r="J149" s="2" t="s">
        <v>208</v>
      </c>
      <c r="M149" s="3">
        <v>0.37</v>
      </c>
      <c r="N149" s="3">
        <v>0.37</v>
      </c>
    </row>
    <row r="150" spans="4:14" x14ac:dyDescent="0.3">
      <c r="D150" s="1" t="s">
        <v>138</v>
      </c>
      <c r="J150" s="2" t="s">
        <v>208</v>
      </c>
      <c r="M150" s="3">
        <v>0.05</v>
      </c>
      <c r="N150" s="3">
        <v>0.05</v>
      </c>
    </row>
    <row r="151" spans="4:14" x14ac:dyDescent="0.3">
      <c r="D151" s="1" t="s">
        <v>139</v>
      </c>
      <c r="J151" s="2" t="s">
        <v>209</v>
      </c>
      <c r="K151" s="24"/>
      <c r="L151" s="24"/>
      <c r="M151" s="24">
        <v>85000</v>
      </c>
      <c r="N151" s="24">
        <v>85000</v>
      </c>
    </row>
    <row r="152" spans="4:14" x14ac:dyDescent="0.3">
      <c r="D152" s="1" t="s">
        <v>140</v>
      </c>
      <c r="J152" s="2" t="s">
        <v>210</v>
      </c>
      <c r="K152" s="20"/>
      <c r="L152" s="20"/>
      <c r="M152" s="20">
        <v>5.7999999999999996E-3</v>
      </c>
      <c r="N152" s="20">
        <v>5.7999999999999996E-3</v>
      </c>
    </row>
    <row r="153" spans="4:14" x14ac:dyDescent="0.3">
      <c r="D153" s="1" t="s">
        <v>141</v>
      </c>
      <c r="J153" s="2" t="s">
        <v>210</v>
      </c>
      <c r="K153" s="20"/>
      <c r="L153" s="20"/>
      <c r="M153" s="20">
        <v>2.3999999999999998E-3</v>
      </c>
      <c r="N153" s="20">
        <v>2.3999999999999998E-3</v>
      </c>
    </row>
    <row r="154" spans="4:14" x14ac:dyDescent="0.3">
      <c r="D154" s="1" t="s">
        <v>142</v>
      </c>
      <c r="J154" s="2" t="s">
        <v>210</v>
      </c>
      <c r="K154" s="20"/>
      <c r="L154" s="20"/>
      <c r="M154" s="20">
        <v>2E-3</v>
      </c>
      <c r="N154" s="20">
        <v>2E-3</v>
      </c>
    </row>
    <row r="155" spans="4:14" ht="14.4" x14ac:dyDescent="0.35">
      <c r="D155" s="4" t="s">
        <v>78</v>
      </c>
    </row>
    <row r="156" spans="4:14" x14ac:dyDescent="0.3">
      <c r="D156" s="1" t="s">
        <v>143</v>
      </c>
      <c r="J156" s="2" t="s">
        <v>7</v>
      </c>
      <c r="K156" s="3" t="s">
        <v>8</v>
      </c>
    </row>
    <row r="157" spans="4:14" ht="14.4" x14ac:dyDescent="0.35">
      <c r="D157" s="4" t="s">
        <v>144</v>
      </c>
      <c r="J157" s="5" t="s">
        <v>18</v>
      </c>
      <c r="K157" s="14"/>
      <c r="L157" s="14"/>
      <c r="M157" s="14" t="e">
        <f>(#REF!+M140)*M143*M149</f>
        <v>#REF!</v>
      </c>
      <c r="N157" s="14" t="e">
        <f>(#REF!+N140)*N143*N149</f>
        <v>#REF!</v>
      </c>
    </row>
    <row r="158" spans="4:14" x14ac:dyDescent="0.3">
      <c r="D158" s="1" t="s">
        <v>145</v>
      </c>
    </row>
    <row r="159" spans="4:14" x14ac:dyDescent="0.3">
      <c r="D159" s="1" t="s">
        <v>146</v>
      </c>
      <c r="J159" s="2" t="s">
        <v>211</v>
      </c>
      <c r="K159" s="11"/>
      <c r="L159" s="11"/>
      <c r="M159" s="11">
        <f t="shared" ref="M159:N159" si="12">M143*M149*M150</f>
        <v>5.8275E-2</v>
      </c>
      <c r="N159" s="11">
        <f t="shared" si="12"/>
        <v>5.8275E-2</v>
      </c>
    </row>
    <row r="160" spans="4:14" ht="14.4" x14ac:dyDescent="0.35">
      <c r="D160" s="4" t="s">
        <v>147</v>
      </c>
      <c r="J160" s="5" t="s">
        <v>18</v>
      </c>
      <c r="K160" s="14"/>
      <c r="L160" s="14"/>
      <c r="M160" s="14" t="e">
        <f>M159*(#REF!+M140)</f>
        <v>#REF!</v>
      </c>
      <c r="N160" s="14" t="e">
        <f>N159*(#REF!+N140)</f>
        <v>#REF!</v>
      </c>
    </row>
    <row r="161" spans="4:14" x14ac:dyDescent="0.3">
      <c r="D161" s="1" t="s">
        <v>148</v>
      </c>
      <c r="I161" s="12" t="s">
        <v>195</v>
      </c>
      <c r="J161" s="2" t="s">
        <v>7</v>
      </c>
      <c r="N161" s="13"/>
    </row>
    <row r="162" spans="4:14" x14ac:dyDescent="0.3">
      <c r="D162" s="1" t="s">
        <v>149</v>
      </c>
      <c r="I162" s="1" t="s">
        <v>212</v>
      </c>
      <c r="J162" s="2" t="s">
        <v>213</v>
      </c>
      <c r="K162" s="11"/>
      <c r="L162" s="11"/>
      <c r="M162" s="11">
        <f t="shared" ref="M162:N162" si="13">6*M144</f>
        <v>8899.2000000000007</v>
      </c>
      <c r="N162" s="11">
        <f t="shared" si="13"/>
        <v>8899.2000000000007</v>
      </c>
    </row>
    <row r="163" spans="4:14" x14ac:dyDescent="0.3">
      <c r="D163" s="1" t="s">
        <v>150</v>
      </c>
      <c r="I163" s="1" t="s">
        <v>214</v>
      </c>
      <c r="J163" s="2" t="s">
        <v>215</v>
      </c>
      <c r="K163" s="11"/>
      <c r="L163" s="11"/>
      <c r="M163" s="11">
        <f t="shared" ref="M163:N163" si="14">2*M145*6</f>
        <v>7173.9600000000009</v>
      </c>
      <c r="N163" s="11">
        <f t="shared" si="14"/>
        <v>7173.9600000000009</v>
      </c>
    </row>
    <row r="164" spans="4:14" ht="14.4" x14ac:dyDescent="0.35">
      <c r="D164" s="4" t="s">
        <v>151</v>
      </c>
      <c r="I164" s="4"/>
      <c r="J164" s="5" t="s">
        <v>216</v>
      </c>
      <c r="K164" s="31"/>
      <c r="L164" s="31"/>
      <c r="M164" s="31" t="e">
        <f>(M162+M163)/M151*(#REF!+M140)</f>
        <v>#REF!</v>
      </c>
      <c r="N164" s="31" t="e">
        <f>(N162+N163)/N151*(#REF!+N140)</f>
        <v>#REF!</v>
      </c>
    </row>
    <row r="165" spans="4:14" x14ac:dyDescent="0.3">
      <c r="D165" s="1" t="s">
        <v>152</v>
      </c>
    </row>
    <row r="166" spans="4:14" x14ac:dyDescent="0.3">
      <c r="D166" s="1" t="s">
        <v>153</v>
      </c>
      <c r="J166" s="2" t="s">
        <v>18</v>
      </c>
      <c r="K166" s="11"/>
      <c r="L166" s="11"/>
      <c r="M166" s="11"/>
      <c r="N166" s="11"/>
    </row>
    <row r="167" spans="4:14" ht="14.4" x14ac:dyDescent="0.35">
      <c r="D167" s="4" t="s">
        <v>154</v>
      </c>
      <c r="J167" s="5" t="s">
        <v>18</v>
      </c>
      <c r="K167" s="14"/>
      <c r="L167" s="14"/>
      <c r="M167" s="14">
        <f>K167/259.5*30.5</f>
        <v>0</v>
      </c>
      <c r="N167" s="14">
        <f>K167/259.5*229</f>
        <v>0</v>
      </c>
    </row>
    <row r="168" spans="4:14" x14ac:dyDescent="0.3">
      <c r="D168" s="1" t="s">
        <v>155</v>
      </c>
    </row>
    <row r="169" spans="4:14" x14ac:dyDescent="0.3">
      <c r="D169" s="1" t="s">
        <v>156</v>
      </c>
      <c r="J169" s="2" t="s">
        <v>18</v>
      </c>
      <c r="K169" s="11"/>
      <c r="L169" s="11"/>
      <c r="M169" s="11"/>
      <c r="N169" s="11"/>
    </row>
    <row r="170" spans="4:14" ht="14.4" x14ac:dyDescent="0.35">
      <c r="D170" s="4" t="s">
        <v>157</v>
      </c>
      <c r="J170" s="5" t="s">
        <v>18</v>
      </c>
      <c r="K170" s="14"/>
      <c r="L170" s="14"/>
      <c r="M170" s="14">
        <f>K170/259.5*30.5</f>
        <v>0</v>
      </c>
      <c r="N170" s="14">
        <f>K170/259.5*229</f>
        <v>0</v>
      </c>
    </row>
    <row r="171" spans="4:14" x14ac:dyDescent="0.3">
      <c r="D171" s="1" t="s">
        <v>158</v>
      </c>
    </row>
    <row r="172" spans="4:14" x14ac:dyDescent="0.3">
      <c r="D172" s="1" t="s">
        <v>159</v>
      </c>
      <c r="J172" s="2" t="s">
        <v>18</v>
      </c>
      <c r="K172" s="11"/>
      <c r="L172" s="11"/>
    </row>
    <row r="173" spans="4:14" ht="14.4" x14ac:dyDescent="0.35">
      <c r="D173" s="4" t="s">
        <v>160</v>
      </c>
      <c r="J173" s="5" t="s">
        <v>18</v>
      </c>
      <c r="K173" s="14"/>
      <c r="L173" s="14"/>
      <c r="M173" s="14">
        <f>K173/259.5*30.5</f>
        <v>0</v>
      </c>
      <c r="N173" s="14">
        <f>K173/259.5*229</f>
        <v>0</v>
      </c>
    </row>
    <row r="174" spans="4:14" x14ac:dyDescent="0.3">
      <c r="D174" s="1" t="s">
        <v>161</v>
      </c>
    </row>
    <row r="175" spans="4:14" x14ac:dyDescent="0.3">
      <c r="D175" s="1" t="s">
        <v>162</v>
      </c>
      <c r="J175" s="2" t="s">
        <v>18</v>
      </c>
      <c r="K175" s="11"/>
      <c r="L175" s="11"/>
    </row>
    <row r="176" spans="4:14" x14ac:dyDescent="0.3">
      <c r="D176" s="1" t="s">
        <v>163</v>
      </c>
      <c r="J176" s="2" t="s">
        <v>18</v>
      </c>
      <c r="K176" s="11"/>
      <c r="L176" s="11"/>
    </row>
    <row r="177" spans="4:14" x14ac:dyDescent="0.3">
      <c r="D177" s="1" t="s">
        <v>164</v>
      </c>
      <c r="J177" s="2" t="s">
        <v>18</v>
      </c>
      <c r="K177" s="11"/>
      <c r="L177" s="11"/>
    </row>
    <row r="178" spans="4:14" x14ac:dyDescent="0.3">
      <c r="D178" s="1" t="s">
        <v>165</v>
      </c>
      <c r="J178" s="2" t="s">
        <v>18</v>
      </c>
      <c r="K178" s="11"/>
      <c r="L178" s="11"/>
    </row>
    <row r="179" spans="4:14" ht="14.4" x14ac:dyDescent="0.35">
      <c r="D179" s="4" t="s">
        <v>166</v>
      </c>
      <c r="J179" s="5" t="s">
        <v>18</v>
      </c>
      <c r="K179" s="14"/>
      <c r="L179" s="14"/>
      <c r="M179" s="14">
        <f>K179/259.5*30.5</f>
        <v>0</v>
      </c>
      <c r="N179" s="14">
        <f>K179/259.5*229</f>
        <v>0</v>
      </c>
    </row>
    <row r="180" spans="4:14" ht="14.4" x14ac:dyDescent="0.35">
      <c r="D180" s="4" t="s">
        <v>167</v>
      </c>
      <c r="K180" s="14"/>
      <c r="L180" s="14"/>
      <c r="M180" s="14" t="e">
        <f t="shared" ref="M180:N180" si="15">M157+M160+M164+M167+M170+M173+M179</f>
        <v>#REF!</v>
      </c>
      <c r="N180" s="14" t="e">
        <f t="shared" si="15"/>
        <v>#REF!</v>
      </c>
    </row>
    <row r="181" spans="4:14" ht="14.4" x14ac:dyDescent="0.35">
      <c r="D181" s="4" t="s">
        <v>107</v>
      </c>
    </row>
    <row r="182" spans="4:14" x14ac:dyDescent="0.3">
      <c r="D182" s="1" t="s">
        <v>108</v>
      </c>
      <c r="I182" s="12" t="s">
        <v>195</v>
      </c>
      <c r="J182" s="2" t="s">
        <v>7</v>
      </c>
      <c r="K182" s="3" t="s">
        <v>8</v>
      </c>
    </row>
    <row r="183" spans="4:14" x14ac:dyDescent="0.3">
      <c r="D183" s="1" t="s">
        <v>109</v>
      </c>
      <c r="J183" s="2" t="s">
        <v>191</v>
      </c>
      <c r="K183" s="11"/>
      <c r="L183" s="11"/>
      <c r="M183" s="11" t="e">
        <f t="shared" ref="M183:N183" si="16">M180</f>
        <v>#REF!</v>
      </c>
      <c r="N183" s="11" t="e">
        <f t="shared" si="16"/>
        <v>#REF!</v>
      </c>
    </row>
    <row r="184" spans="4:14" ht="14.4" x14ac:dyDescent="0.35">
      <c r="D184" s="4" t="s">
        <v>110</v>
      </c>
      <c r="I184" s="16">
        <v>0.01</v>
      </c>
      <c r="J184" s="5" t="s">
        <v>191</v>
      </c>
      <c r="K184" s="14"/>
      <c r="L184" s="14"/>
      <c r="M184" s="14" t="e">
        <f t="shared" ref="M184:N184" si="17">M183*$I$121</f>
        <v>#REF!</v>
      </c>
      <c r="N184" s="14" t="e">
        <f t="shared" si="17"/>
        <v>#REF!</v>
      </c>
    </row>
    <row r="185" spans="4:14" x14ac:dyDescent="0.3">
      <c r="D185" s="1" t="s">
        <v>111</v>
      </c>
    </row>
    <row r="186" spans="4:14" x14ac:dyDescent="0.3">
      <c r="D186" s="1" t="s">
        <v>112</v>
      </c>
      <c r="J186" s="2" t="s">
        <v>191</v>
      </c>
      <c r="K186" s="11"/>
      <c r="L186" s="11"/>
      <c r="M186" s="11" t="e">
        <f t="shared" ref="M186:N186" si="18">M183+M184</f>
        <v>#REF!</v>
      </c>
      <c r="N186" s="11" t="e">
        <f t="shared" si="18"/>
        <v>#REF!</v>
      </c>
    </row>
    <row r="187" spans="4:14" ht="14.4" x14ac:dyDescent="0.35">
      <c r="D187" s="4" t="s">
        <v>113</v>
      </c>
      <c r="I187" s="16">
        <v>0.05</v>
      </c>
      <c r="J187" s="5" t="s">
        <v>191</v>
      </c>
      <c r="K187" s="14"/>
      <c r="L187" s="14"/>
      <c r="M187" s="14" t="e">
        <f t="shared" ref="M187:N187" si="19">M186*$I$124</f>
        <v>#REF!</v>
      </c>
      <c r="N187" s="14" t="e">
        <f t="shared" si="19"/>
        <v>#REF!</v>
      </c>
    </row>
    <row r="188" spans="4:14" x14ac:dyDescent="0.3">
      <c r="D188" s="1" t="s">
        <v>114</v>
      </c>
    </row>
    <row r="189" spans="4:14" x14ac:dyDescent="0.3">
      <c r="D189" s="1" t="s">
        <v>115</v>
      </c>
      <c r="K189" s="11"/>
      <c r="L189" s="11"/>
      <c r="M189" s="11" t="e">
        <f t="shared" ref="M189:N189" si="20">M186+M187</f>
        <v>#REF!</v>
      </c>
      <c r="N189" s="11" t="e">
        <f t="shared" si="20"/>
        <v>#REF!</v>
      </c>
    </row>
    <row r="190" spans="4:14" x14ac:dyDescent="0.3">
      <c r="D190" s="1" t="s">
        <v>116</v>
      </c>
      <c r="I190" s="15">
        <v>0.03</v>
      </c>
      <c r="J190" s="2" t="s">
        <v>191</v>
      </c>
      <c r="K190" s="11"/>
      <c r="L190" s="11"/>
      <c r="M190" s="11" t="e">
        <f t="shared" ref="M190:N190" si="21">M189*$I$127</f>
        <v>#REF!</v>
      </c>
      <c r="N190" s="11" t="e">
        <f t="shared" si="21"/>
        <v>#REF!</v>
      </c>
    </row>
    <row r="191" spans="4:14" x14ac:dyDescent="0.3">
      <c r="D191" s="1" t="s">
        <v>117</v>
      </c>
      <c r="I191" s="15">
        <v>6.4999999999999997E-3</v>
      </c>
      <c r="J191" s="2" t="s">
        <v>191</v>
      </c>
      <c r="K191" s="11"/>
      <c r="L191" s="11"/>
      <c r="M191" s="11" t="e">
        <f t="shared" ref="M191:N191" si="22">M189*$I$128</f>
        <v>#REF!</v>
      </c>
      <c r="N191" s="11" t="e">
        <f t="shared" si="22"/>
        <v>#REF!</v>
      </c>
    </row>
    <row r="192" spans="4:14" x14ac:dyDescent="0.3">
      <c r="D192" s="1" t="s">
        <v>118</v>
      </c>
      <c r="I192" s="15">
        <v>0.02</v>
      </c>
      <c r="J192" s="2" t="s">
        <v>191</v>
      </c>
      <c r="K192" s="11"/>
      <c r="L192" s="11"/>
      <c r="M192" s="11" t="e">
        <f t="shared" ref="M192:N192" si="23">M189*$I$129</f>
        <v>#REF!</v>
      </c>
      <c r="N192" s="11" t="e">
        <f t="shared" si="23"/>
        <v>#REF!</v>
      </c>
    </row>
    <row r="193" spans="1:17" ht="14.4" x14ac:dyDescent="0.35">
      <c r="D193" s="4" t="s">
        <v>119</v>
      </c>
      <c r="J193" s="5" t="s">
        <v>191</v>
      </c>
      <c r="K193" s="14"/>
      <c r="L193" s="14"/>
      <c r="M193" s="14" t="e">
        <f t="shared" ref="M193:N193" si="24">M190+M191+M192</f>
        <v>#REF!</v>
      </c>
      <c r="N193" s="14" t="e">
        <f t="shared" si="24"/>
        <v>#REF!</v>
      </c>
    </row>
    <row r="194" spans="1:17" ht="14.4" x14ac:dyDescent="0.35">
      <c r="D194" s="4" t="s">
        <v>120</v>
      </c>
      <c r="I194" s="16"/>
      <c r="J194" s="5" t="s">
        <v>191</v>
      </c>
      <c r="K194" s="14"/>
      <c r="L194" s="14"/>
      <c r="M194" s="14" t="e">
        <f t="shared" ref="M194:N194" si="25">M193+M187+M184</f>
        <v>#REF!</v>
      </c>
      <c r="N194" s="14" t="e">
        <f t="shared" si="25"/>
        <v>#REF!</v>
      </c>
    </row>
    <row r="195" spans="1:17" ht="14.4" x14ac:dyDescent="0.35">
      <c r="A195" s="25"/>
      <c r="B195" s="25"/>
      <c r="C195" s="25"/>
      <c r="D195" s="26" t="s">
        <v>168</v>
      </c>
      <c r="E195" s="25"/>
      <c r="F195" s="25"/>
      <c r="G195" s="25"/>
      <c r="H195" s="25"/>
      <c r="I195" s="26"/>
      <c r="J195" s="27" t="s">
        <v>191</v>
      </c>
      <c r="K195" s="28"/>
      <c r="L195" s="28"/>
      <c r="M195" s="28" t="e">
        <f t="shared" ref="M195:N195" si="26">M194+M180</f>
        <v>#REF!</v>
      </c>
      <c r="N195" s="28" t="e">
        <f t="shared" si="26"/>
        <v>#REF!</v>
      </c>
    </row>
    <row r="196" spans="1:17" ht="14.4" x14ac:dyDescent="0.35">
      <c r="A196" s="25"/>
      <c r="B196" s="25"/>
      <c r="C196" s="25"/>
      <c r="D196" s="26" t="s">
        <v>169</v>
      </c>
      <c r="E196" s="25"/>
      <c r="F196" s="25"/>
      <c r="G196" s="25"/>
      <c r="H196" s="25"/>
      <c r="I196" s="25"/>
      <c r="J196" s="29"/>
      <c r="K196" s="28"/>
      <c r="L196" s="28"/>
      <c r="M196" s="28" t="e">
        <f>M195+M132</f>
        <v>#REF!</v>
      </c>
      <c r="N196" s="28" t="e">
        <f>N195+N132</f>
        <v>#REF!</v>
      </c>
      <c r="Q196" s="13"/>
    </row>
    <row r="197" spans="1:17" ht="14.4" x14ac:dyDescent="0.35">
      <c r="B197" s="4" t="s">
        <v>170</v>
      </c>
      <c r="C197" s="4"/>
      <c r="D197" s="4"/>
    </row>
    <row r="198" spans="1:17" ht="14.4" x14ac:dyDescent="0.35">
      <c r="B198" s="4" t="s">
        <v>232</v>
      </c>
    </row>
    <row r="199" spans="1:17" ht="14.4" x14ac:dyDescent="0.35">
      <c r="D199" s="4" t="s">
        <v>5</v>
      </c>
      <c r="J199" s="2" t="s">
        <v>7</v>
      </c>
      <c r="K199" s="3" t="s">
        <v>8</v>
      </c>
    </row>
    <row r="200" spans="1:17" x14ac:dyDescent="0.3">
      <c r="D200" s="1" t="s">
        <v>234</v>
      </c>
      <c r="J200" s="2" t="s">
        <v>233</v>
      </c>
    </row>
    <row r="201" spans="1:17" x14ac:dyDescent="0.3">
      <c r="D201" s="1" t="s">
        <v>235</v>
      </c>
      <c r="J201" s="2" t="s">
        <v>233</v>
      </c>
    </row>
    <row r="202" spans="1:17" ht="14.4" x14ac:dyDescent="0.35">
      <c r="D202" s="4" t="s">
        <v>13</v>
      </c>
    </row>
    <row r="203" spans="1:17" x14ac:dyDescent="0.3">
      <c r="D203" s="1" t="s">
        <v>237</v>
      </c>
      <c r="J203" s="2" t="s">
        <v>238</v>
      </c>
      <c r="K203" s="11"/>
      <c r="L203" s="11"/>
    </row>
    <row r="204" spans="1:17" x14ac:dyDescent="0.3">
      <c r="D204" s="1" t="s">
        <v>236</v>
      </c>
      <c r="J204" s="2" t="s">
        <v>238</v>
      </c>
      <c r="K204" s="11"/>
      <c r="L204" s="11"/>
    </row>
    <row r="205" spans="1:17" ht="14.4" x14ac:dyDescent="0.35">
      <c r="D205" s="4" t="s">
        <v>78</v>
      </c>
    </row>
    <row r="206" spans="1:17" x14ac:dyDescent="0.3">
      <c r="D206" s="1" t="s">
        <v>174</v>
      </c>
      <c r="N206" s="34"/>
    </row>
    <row r="207" spans="1:17" x14ac:dyDescent="0.3">
      <c r="D207" s="1" t="s">
        <v>242</v>
      </c>
      <c r="J207" s="2" t="s">
        <v>216</v>
      </c>
      <c r="K207" s="11"/>
      <c r="L207" s="11"/>
    </row>
    <row r="208" spans="1:17" ht="14.4" x14ac:dyDescent="0.35">
      <c r="D208" s="4" t="s">
        <v>241</v>
      </c>
      <c r="J208" s="5" t="s">
        <v>216</v>
      </c>
      <c r="K208" s="14"/>
      <c r="L208" s="14"/>
    </row>
    <row r="209" spans="1:14" ht="14.4" x14ac:dyDescent="0.35">
      <c r="D209" s="4" t="s">
        <v>107</v>
      </c>
    </row>
    <row r="210" spans="1:14" ht="14.4" x14ac:dyDescent="0.35">
      <c r="D210" s="4" t="s">
        <v>108</v>
      </c>
      <c r="I210" s="12" t="s">
        <v>195</v>
      </c>
      <c r="J210" s="2" t="s">
        <v>7</v>
      </c>
      <c r="K210" s="3" t="s">
        <v>8</v>
      </c>
    </row>
    <row r="211" spans="1:14" x14ac:dyDescent="0.3">
      <c r="D211" s="1" t="s">
        <v>109</v>
      </c>
      <c r="J211" s="2" t="s">
        <v>191</v>
      </c>
      <c r="K211" s="11"/>
      <c r="L211" s="11"/>
    </row>
    <row r="212" spans="1:14" ht="14.4" x14ac:dyDescent="0.35">
      <c r="D212" s="4" t="s">
        <v>110</v>
      </c>
      <c r="I212" s="16">
        <v>0.01</v>
      </c>
      <c r="J212" s="5" t="s">
        <v>191</v>
      </c>
      <c r="K212" s="14"/>
      <c r="L212" s="14"/>
    </row>
    <row r="213" spans="1:14" x14ac:dyDescent="0.3">
      <c r="D213" s="1" t="s">
        <v>111</v>
      </c>
    </row>
    <row r="214" spans="1:14" x14ac:dyDescent="0.3">
      <c r="D214" s="1" t="s">
        <v>112</v>
      </c>
      <c r="J214" s="2" t="s">
        <v>191</v>
      </c>
      <c r="K214" s="11"/>
      <c r="L214" s="11"/>
    </row>
    <row r="215" spans="1:14" ht="14.4" x14ac:dyDescent="0.35">
      <c r="D215" s="4" t="s">
        <v>113</v>
      </c>
      <c r="I215" s="16">
        <f>I187</f>
        <v>0.05</v>
      </c>
      <c r="J215" s="5" t="s">
        <v>191</v>
      </c>
      <c r="K215" s="14"/>
      <c r="L215" s="14"/>
    </row>
    <row r="216" spans="1:14" x14ac:dyDescent="0.3">
      <c r="D216" s="1" t="s">
        <v>114</v>
      </c>
    </row>
    <row r="217" spans="1:14" x14ac:dyDescent="0.3">
      <c r="D217" s="1" t="s">
        <v>115</v>
      </c>
      <c r="K217" s="11"/>
      <c r="L217" s="11"/>
    </row>
    <row r="218" spans="1:14" x14ac:dyDescent="0.3">
      <c r="D218" s="1" t="s">
        <v>116</v>
      </c>
      <c r="I218" s="15">
        <v>0.03</v>
      </c>
      <c r="J218" s="2" t="s">
        <v>191</v>
      </c>
      <c r="K218" s="11"/>
      <c r="L218" s="11"/>
    </row>
    <row r="219" spans="1:14" x14ac:dyDescent="0.3">
      <c r="D219" s="1" t="s">
        <v>117</v>
      </c>
      <c r="I219" s="15">
        <v>6.4999999999999997E-3</v>
      </c>
      <c r="J219" s="2" t="s">
        <v>191</v>
      </c>
      <c r="K219" s="11"/>
      <c r="L219" s="11"/>
    </row>
    <row r="220" spans="1:14" x14ac:dyDescent="0.3">
      <c r="D220" s="1" t="s">
        <v>118</v>
      </c>
      <c r="I220" s="15">
        <v>0.02</v>
      </c>
      <c r="J220" s="2" t="s">
        <v>191</v>
      </c>
      <c r="K220" s="11"/>
      <c r="L220" s="11"/>
    </row>
    <row r="221" spans="1:14" ht="14.4" x14ac:dyDescent="0.35">
      <c r="D221" s="4" t="s">
        <v>119</v>
      </c>
      <c r="J221" s="5" t="s">
        <v>191</v>
      </c>
      <c r="K221" s="14"/>
      <c r="L221" s="14"/>
    </row>
    <row r="222" spans="1:14" ht="14.4" x14ac:dyDescent="0.35">
      <c r="D222" s="4" t="s">
        <v>120</v>
      </c>
      <c r="I222" s="16"/>
      <c r="J222" s="5" t="s">
        <v>191</v>
      </c>
      <c r="K222" s="14"/>
      <c r="L222" s="14"/>
    </row>
    <row r="223" spans="1:14" ht="14.4" x14ac:dyDescent="0.35">
      <c r="A223" s="25"/>
      <c r="B223" s="25"/>
      <c r="C223" s="25"/>
      <c r="D223" s="26" t="s">
        <v>244</v>
      </c>
      <c r="E223" s="25"/>
      <c r="F223" s="25"/>
      <c r="G223" s="25"/>
      <c r="H223" s="25"/>
      <c r="I223" s="26"/>
      <c r="J223" s="27" t="s">
        <v>191</v>
      </c>
      <c r="K223" s="28"/>
      <c r="L223" s="35"/>
    </row>
    <row r="224" spans="1:14" ht="14.4" x14ac:dyDescent="0.35">
      <c r="A224" s="36"/>
      <c r="B224" s="36"/>
      <c r="C224" s="36"/>
      <c r="D224" s="37" t="s">
        <v>178</v>
      </c>
      <c r="E224" s="36"/>
      <c r="F224" s="36"/>
      <c r="G224" s="36"/>
      <c r="H224" s="36"/>
      <c r="I224" s="36"/>
      <c r="J224" s="27" t="s">
        <v>191</v>
      </c>
      <c r="K224" s="40"/>
      <c r="L224" s="35"/>
      <c r="N224" s="13"/>
    </row>
    <row r="225" spans="1:18" x14ac:dyDescent="0.3">
      <c r="B225" s="1" t="s">
        <v>221</v>
      </c>
      <c r="N225" s="13"/>
    </row>
    <row r="226" spans="1:18" x14ac:dyDescent="0.3">
      <c r="D226" s="1" t="s">
        <v>180</v>
      </c>
      <c r="J226" s="41" t="s">
        <v>220</v>
      </c>
      <c r="K226" s="3" t="s">
        <v>17</v>
      </c>
    </row>
    <row r="227" spans="1:18" x14ac:dyDescent="0.3">
      <c r="D227" s="1" t="s">
        <v>181</v>
      </c>
      <c r="J227" s="11">
        <f>K132</f>
        <v>0</v>
      </c>
      <c r="K227" s="43" t="e">
        <f t="shared" ref="K227:K231" si="27">J227/$J$234</f>
        <v>#DIV/0!</v>
      </c>
      <c r="L227" s="43"/>
    </row>
    <row r="228" spans="1:18" x14ac:dyDescent="0.3">
      <c r="D228" s="1" t="s">
        <v>182</v>
      </c>
      <c r="J228" s="11">
        <f>K195</f>
        <v>0</v>
      </c>
      <c r="K228" s="43" t="e">
        <f t="shared" si="27"/>
        <v>#DIV/0!</v>
      </c>
      <c r="L228" s="43"/>
    </row>
    <row r="229" spans="1:18" x14ac:dyDescent="0.3">
      <c r="D229" s="1" t="s">
        <v>183</v>
      </c>
      <c r="J229" s="11">
        <f>J227+J228</f>
        <v>0</v>
      </c>
      <c r="K229" s="43" t="e">
        <f t="shared" si="27"/>
        <v>#DIV/0!</v>
      </c>
      <c r="L229" s="43"/>
    </row>
    <row r="230" spans="1:18" x14ac:dyDescent="0.3">
      <c r="D230" s="1" t="s">
        <v>184</v>
      </c>
      <c r="J230" s="11"/>
      <c r="K230" s="43"/>
      <c r="L230" s="43"/>
    </row>
    <row r="231" spans="1:18" x14ac:dyDescent="0.3">
      <c r="D231" s="1" t="s">
        <v>243</v>
      </c>
      <c r="J231" s="11">
        <f>K224</f>
        <v>0</v>
      </c>
      <c r="K231" s="43" t="e">
        <f t="shared" si="27"/>
        <v>#DIV/0!</v>
      </c>
      <c r="L231" s="43"/>
    </row>
    <row r="232" spans="1:18" x14ac:dyDescent="0.3">
      <c r="D232" s="1" t="s">
        <v>246</v>
      </c>
      <c r="J232" s="11">
        <v>0</v>
      </c>
      <c r="K232" s="43"/>
      <c r="L232" s="43"/>
    </row>
    <row r="233" spans="1:18" x14ac:dyDescent="0.3">
      <c r="D233" s="1" t="s">
        <v>186</v>
      </c>
      <c r="J233" s="11">
        <f>J231+J232</f>
        <v>0</v>
      </c>
      <c r="K233" s="43" t="e">
        <f>J233/$J$234</f>
        <v>#DIV/0!</v>
      </c>
      <c r="L233" s="43"/>
    </row>
    <row r="234" spans="1:18" x14ac:dyDescent="0.3">
      <c r="A234" s="25"/>
      <c r="B234" s="25"/>
      <c r="C234" s="25"/>
      <c r="D234" s="25" t="s">
        <v>187</v>
      </c>
      <c r="E234" s="25"/>
      <c r="F234" s="25"/>
      <c r="G234" s="25"/>
      <c r="H234" s="25"/>
      <c r="I234" s="25"/>
      <c r="J234" s="33">
        <f>J233+J229</f>
        <v>0</v>
      </c>
      <c r="K234" s="44"/>
      <c r="L234" s="43"/>
      <c r="R234" s="13"/>
    </row>
    <row r="235" spans="1:18" x14ac:dyDescent="0.3">
      <c r="A235" s="25"/>
      <c r="B235" s="25"/>
      <c r="C235" s="25"/>
      <c r="D235" s="25" t="s">
        <v>188</v>
      </c>
      <c r="E235" s="25"/>
      <c r="F235" s="25"/>
      <c r="G235" s="25"/>
      <c r="H235" s="25"/>
      <c r="I235" s="25"/>
      <c r="J235" s="33">
        <f>J234*12</f>
        <v>0</v>
      </c>
      <c r="K235" s="30"/>
      <c r="L235" s="42"/>
      <c r="N235" s="13"/>
    </row>
    <row r="236" spans="1:18" ht="40.5" customHeight="1" x14ac:dyDescent="0.3">
      <c r="B236" s="56" t="s">
        <v>189</v>
      </c>
      <c r="C236" s="56"/>
      <c r="D236" s="56"/>
      <c r="E236" s="56"/>
      <c r="F236" s="56"/>
      <c r="G236" s="56"/>
      <c r="H236" s="56"/>
      <c r="I236" s="56"/>
      <c r="J236" s="56"/>
      <c r="K236" s="56"/>
      <c r="L236" s="51"/>
    </row>
    <row r="238" spans="1:18" ht="50.25" customHeight="1" x14ac:dyDescent="0.3">
      <c r="B238" s="56" t="s">
        <v>239</v>
      </c>
      <c r="C238" s="56"/>
      <c r="D238" s="56"/>
      <c r="E238" s="56"/>
      <c r="F238" s="56"/>
      <c r="G238" s="56"/>
      <c r="H238" s="56"/>
      <c r="I238" s="56"/>
      <c r="J238" s="56"/>
      <c r="K238" s="56"/>
      <c r="L238" s="51"/>
    </row>
  </sheetData>
  <mergeCells count="8">
    <mergeCell ref="B236:K236"/>
    <mergeCell ref="B238:K238"/>
    <mergeCell ref="B5:K5"/>
    <mergeCell ref="B6:K6"/>
    <mergeCell ref="D17:H17"/>
    <mergeCell ref="D59:H59"/>
    <mergeCell ref="D69:H69"/>
    <mergeCell ref="D73:H73"/>
  </mergeCells>
  <pageMargins left="0.51181102362204722" right="0.51181102362204722" top="0.78740157480314965" bottom="0.7874015748031496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BDI</vt:lpstr>
      <vt:lpstr>EncargosSociais</vt:lpstr>
      <vt:lpstr>FormaçãoPreço</vt:lpstr>
      <vt:lpstr>PlanilhaLicitação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MA-</dc:creator>
  <cp:lastModifiedBy>Tiago</cp:lastModifiedBy>
  <cp:lastPrinted>2017-11-19T20:05:11Z</cp:lastPrinted>
  <dcterms:created xsi:type="dcterms:W3CDTF">2017-11-14T13:33:49Z</dcterms:created>
  <dcterms:modified xsi:type="dcterms:W3CDTF">2023-08-23T11:28:00Z</dcterms:modified>
</cp:coreProperties>
</file>